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Z:\ANO 2023\EDITAIS\TOMADA DE PREÇOS\TP 11 2023 - Alaíde Oliveira Sales\"/>
    </mc:Choice>
  </mc:AlternateContent>
  <xr:revisionPtr revIDLastSave="0" documentId="8_{724C76B9-5CFD-4F51-9854-26469DCD12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rçamento Analítico Demolição" sheetId="5" r:id="rId1"/>
    <sheet name="CFF" sheetId="3" r:id="rId2"/>
    <sheet name="BDI" sheetId="2" r:id="rId3"/>
    <sheet name="Levantamentos" sheetId="4" state="hidden" r:id="rId4"/>
    <sheet name="Orçamento Analítico" sheetId="1" state="hidden" r:id="rId5"/>
  </sheets>
  <externalReferences>
    <externalReference r:id="rId6"/>
    <externalReference r:id="rId7"/>
    <externalReference r:id="rId8"/>
    <externalReference r:id="rId9"/>
    <externalReference r:id="rId10"/>
  </externalReferences>
  <definedNames>
    <definedName name="__xlnm.Print_Area_5">#REF!</definedName>
    <definedName name="__xlnm.Print_Titles_4">([1]Cronograma!$A:$D,[1]Cronograma!$1:$8)</definedName>
    <definedName name="BDI.Opcao" hidden="1">[2]DADOS!$F$18</definedName>
    <definedName name="BDI.TipoObra" hidden="1">[2]BDI!$A$138:$A$146</definedName>
    <definedName name="DESONERACAO" hidden="1">IF(OR(Import.Desoneracao="DESONERADO",Import.Desoneracao="SIM"),"SIM","NÃO")</definedName>
    <definedName name="EMPRESAS">OFFSET(#REF!,1,0):OFFSET(#REF!,-1,0)</definedName>
    <definedName name="Import.Desoneracao" hidden="1">OFFSET([2]DADOS!$G$18,0,-1)</definedName>
    <definedName name="Import.Município" localSheetId="2" hidden="1">[3]DADOS!$F$6</definedName>
    <definedName name="Import.Município" hidden="1">[2]DADOS!$F$6</definedName>
    <definedName name="Import.RespOrçamento" localSheetId="2" hidden="1">[3]DADOS!$F$22:$F$24</definedName>
    <definedName name="Import.RespOrçamento" hidden="1">[2]DADOS!$F$22:$F$24</definedName>
    <definedName name="INDICES">OFFSET(#REF!,1,0):OFFSET(#REF!,-1,0)</definedName>
    <definedName name="NCOTACOES">1</definedName>
    <definedName name="NEMPRESAS">3</definedName>
    <definedName name="NINDICES">0</definedName>
    <definedName name="ORÇAMENTO.CustoUnitario" localSheetId="2" hidden="1">ROUND([4]P.O!$V1,15-13*[4]P.O!$AF$9)</definedName>
    <definedName name="ORÇAMENTO.CustoUnitario" hidden="1">ROUND('[5]ORÇAMENTO ANALÍTICO'!$V1,15-13*'[5]ORÇAMENTO ANALÍTICO'!$AF$10)</definedName>
    <definedName name="p" localSheetId="2" hidden="1">ROUND([4]P.O!$V1,15-13*[4]P.O!$AF$9)</definedName>
    <definedName name="p" hidden="1">ROUND('[5]ORÇAMENTO ANALÍTICO'!$V1,15-13*'[5]ORÇAMENTO ANALÍTICO'!$AF$10)</definedName>
    <definedName name="planilha" localSheetId="2" hidden="1">ROUND([4]P.O!$U1*[4]P.O!$X1,15-13*[4]P.O!#REF!)</definedName>
    <definedName name="planilha" hidden="1">ROUND('[5]ORÇAMENTO ANALÍTICO'!$U1*'[5]ORÇAMENTO ANALÍTICO'!$X1,15-13*'[5]ORÇAMENTO ANALÍTICO'!#REF!)</definedName>
    <definedName name="planilhas" localSheetId="2" hidden="1">ROUND([4]P.O!$U1*[4]P.O!$X1,15-13*[4]P.O!#REF!)</definedName>
    <definedName name="planilhas" hidden="1">ROUND('[5]ORÇAMENTO ANALÍTICO'!$U1*'[5]ORÇAMENTO ANALÍTICO'!$X1,15-13*'[5]ORÇAMENTO ANALÍTICO'!#REF!)</definedName>
    <definedName name="soma" localSheetId="2" hidden="1">SUMIF(OFFSET([4]P.O!$C1,1,0,[4]P.O!$D1),"S",OFFSET([4]P.O!A1,1,0,[4]P.O!$D1))</definedName>
    <definedName name="soma" hidden="1">SUMIF(OFFSET('[5]ORÇAMENTO ANALÍTICO'!$C1,1,0,'[5]ORÇAMENTO ANALÍTICO'!$D1),"S",OFFSET('[5]ORÇAMENTO ANALÍTICO'!A1,1,0,'[5]ORÇAMENTO ANALÍTICO'!$D1))</definedName>
    <definedName name="SomaAgrup" localSheetId="2" hidden="1">SUMIF(OFFSET([4]P.O!$C1,1,0,[4]P.O!$D1),"S",OFFSET([4]P.O!A1,1,0,[4]P.O!$D1))</definedName>
    <definedName name="SomaAgrup" hidden="1">SUMIF(OFFSET('[5]ORÇAMENTO ANALÍTICO'!$C1,1,0,'[5]ORÇAMENTO ANALÍTICO'!$D1),"S",OFFSET('[5]ORÇAMENTO ANALÍTICO'!A1,1,0,'[5]ORÇAMENTO ANALÍTICO'!$D1))</definedName>
    <definedName name="somar" localSheetId="2" hidden="1">ROUND([4]P.O!$U1*[4]P.O!$X1,15-13*[4]P.O!#REF!)</definedName>
    <definedName name="somar" hidden="1">ROUND('[5]ORÇAMENTO ANALÍTICO'!$U1*'[5]ORÇAMENTO ANALÍTICO'!$X1,15-13*'[5]ORÇAMENTO ANALÍTICO'!#REF!)</definedName>
    <definedName name="TIPOORCAMENTO" hidden="1">IF(VALUE([3]MENU!$O$3)=2,"Licitado","Proposto")</definedName>
    <definedName name="VTOTAL1" localSheetId="2" hidden="1">ROUND([4]P.O!$U1*[4]P.O!$X1,15-13*[4]P.O!#REF!)</definedName>
    <definedName name="VTOTAL1" hidden="1">ROUND('[5]ORÇAMENTO ANALÍTICO'!$U1*'[5]ORÇAMENTO ANALÍTICO'!$X1,15-13*'[5]ORÇAMENTO ANALÍTICO'!#REF!)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4" i="5" l="1"/>
  <c r="G33" i="5"/>
  <c r="G34" i="5"/>
  <c r="J34" i="5" s="1"/>
  <c r="I42" i="5"/>
  <c r="I11" i="5"/>
  <c r="J11" i="5" s="1"/>
  <c r="B15" i="3"/>
  <c r="B13" i="3"/>
  <c r="B11" i="3"/>
  <c r="B9" i="3"/>
  <c r="B7" i="3"/>
  <c r="I46" i="5"/>
  <c r="I47" i="5"/>
  <c r="I23" i="5"/>
  <c r="I24" i="5"/>
  <c r="I25" i="5"/>
  <c r="J25" i="5" s="1"/>
  <c r="I26" i="5"/>
  <c r="I27" i="5"/>
  <c r="I28" i="5"/>
  <c r="I29" i="5"/>
  <c r="I30" i="5"/>
  <c r="I31" i="5"/>
  <c r="I32" i="5"/>
  <c r="I33" i="5"/>
  <c r="I35" i="5"/>
  <c r="J35" i="5" s="1"/>
  <c r="I36" i="5"/>
  <c r="I37" i="5"/>
  <c r="I38" i="5"/>
  <c r="J38" i="5" s="1"/>
  <c r="I39" i="5"/>
  <c r="I40" i="5"/>
  <c r="I41" i="5"/>
  <c r="I50" i="5"/>
  <c r="G47" i="5"/>
  <c r="G46" i="5"/>
  <c r="I45" i="5"/>
  <c r="G45" i="5"/>
  <c r="G41" i="5"/>
  <c r="G39" i="5"/>
  <c r="G37" i="5"/>
  <c r="G36" i="5"/>
  <c r="G32" i="5"/>
  <c r="G31" i="5"/>
  <c r="G30" i="5"/>
  <c r="G29" i="5"/>
  <c r="G26" i="5"/>
  <c r="G24" i="5"/>
  <c r="G23" i="5"/>
  <c r="I22" i="5"/>
  <c r="G22" i="5"/>
  <c r="I19" i="5"/>
  <c r="J19" i="5" s="1"/>
  <c r="I18" i="5"/>
  <c r="J18" i="5" s="1"/>
  <c r="I17" i="5"/>
  <c r="J17" i="5" s="1"/>
  <c r="I14" i="5"/>
  <c r="J14" i="5" s="1"/>
  <c r="I13" i="5"/>
  <c r="J13" i="5" s="1"/>
  <c r="I12" i="5"/>
  <c r="J12" i="5" s="1"/>
  <c r="G51" i="1"/>
  <c r="G50" i="4"/>
  <c r="G49" i="4"/>
  <c r="G48" i="4"/>
  <c r="G47" i="4"/>
  <c r="G46" i="4"/>
  <c r="G45" i="4"/>
  <c r="G44" i="4"/>
  <c r="G43" i="4"/>
  <c r="G40" i="4"/>
  <c r="G39" i="4"/>
  <c r="G38" i="4"/>
  <c r="G37" i="4"/>
  <c r="G33" i="4"/>
  <c r="G32" i="4"/>
  <c r="G31" i="4"/>
  <c r="G30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I38" i="1"/>
  <c r="I37" i="1"/>
  <c r="G37" i="1"/>
  <c r="I36" i="1"/>
  <c r="J36" i="1" s="1"/>
  <c r="G32" i="1"/>
  <c r="I35" i="1"/>
  <c r="G35" i="1"/>
  <c r="I34" i="1"/>
  <c r="G34" i="1"/>
  <c r="G50" i="5" l="1"/>
  <c r="G42" i="5"/>
  <c r="J42" i="5"/>
  <c r="J15" i="5"/>
  <c r="D8" i="3" s="1"/>
  <c r="G8" i="3" s="1"/>
  <c r="J39" i="5"/>
  <c r="J26" i="5"/>
  <c r="J35" i="1"/>
  <c r="G52" i="4"/>
  <c r="J37" i="5"/>
  <c r="J47" i="5"/>
  <c r="G40" i="5"/>
  <c r="J40" i="5" s="1"/>
  <c r="J45" i="5"/>
  <c r="J36" i="5"/>
  <c r="J31" i="5"/>
  <c r="J23" i="5"/>
  <c r="J32" i="5"/>
  <c r="J41" i="5"/>
  <c r="J46" i="5"/>
  <c r="J24" i="5"/>
  <c r="J20" i="5"/>
  <c r="D10" i="3" s="1"/>
  <c r="G10" i="3" s="1"/>
  <c r="J33" i="5"/>
  <c r="J29" i="5"/>
  <c r="J30" i="5"/>
  <c r="J50" i="5"/>
  <c r="J51" i="5" s="1"/>
  <c r="D16" i="3" s="1"/>
  <c r="G16" i="3" s="1"/>
  <c r="J22" i="5"/>
  <c r="G27" i="5"/>
  <c r="J27" i="5" s="1"/>
  <c r="G28" i="5"/>
  <c r="J28" i="5" s="1"/>
  <c r="G38" i="1"/>
  <c r="J38" i="1" s="1"/>
  <c r="J34" i="1"/>
  <c r="J37" i="1"/>
  <c r="J43" i="5" l="1"/>
  <c r="J48" i="5"/>
  <c r="D14" i="3" s="1"/>
  <c r="G14" i="3" s="1"/>
  <c r="J52" i="5"/>
  <c r="I13" i="1"/>
  <c r="J13" i="1" s="1"/>
  <c r="G30" i="1"/>
  <c r="G29" i="1"/>
  <c r="G54" i="1" s="1"/>
  <c r="G28" i="1"/>
  <c r="G23" i="1"/>
  <c r="G22" i="1"/>
  <c r="G50" i="1"/>
  <c r="B40" i="4"/>
  <c r="B27" i="4"/>
  <c r="B33" i="4"/>
  <c r="B26" i="4"/>
  <c r="B16" i="4"/>
  <c r="B14" i="4"/>
  <c r="B13" i="4"/>
  <c r="I51" i="1"/>
  <c r="J51" i="1" s="1"/>
  <c r="G49" i="1"/>
  <c r="I49" i="1"/>
  <c r="I48" i="1"/>
  <c r="J48" i="1" s="1"/>
  <c r="B52" i="4" l="1"/>
  <c r="D12" i="3"/>
  <c r="J53" i="5"/>
  <c r="J49" i="1"/>
  <c r="I45" i="1"/>
  <c r="G45" i="1"/>
  <c r="I44" i="1"/>
  <c r="G44" i="1"/>
  <c r="G43" i="1"/>
  <c r="G40" i="1"/>
  <c r="I40" i="1"/>
  <c r="G31" i="1"/>
  <c r="G39" i="1"/>
  <c r="I39" i="1"/>
  <c r="D18" i="3" l="1"/>
  <c r="G12" i="3"/>
  <c r="G18" i="3" s="1"/>
  <c r="F12" i="3"/>
  <c r="J45" i="1"/>
  <c r="J44" i="1"/>
  <c r="J39" i="1"/>
  <c r="J40" i="1"/>
  <c r="G17" i="3" l="1"/>
  <c r="G25" i="1"/>
  <c r="I25" i="1"/>
  <c r="I30" i="1"/>
  <c r="I24" i="1"/>
  <c r="J24" i="1" s="1"/>
  <c r="G26" i="1"/>
  <c r="J25" i="1" l="1"/>
  <c r="G27" i="1"/>
  <c r="J30" i="1"/>
  <c r="I28" i="1"/>
  <c r="J28" i="1" s="1"/>
  <c r="I26" i="1"/>
  <c r="I27" i="1"/>
  <c r="J27" i="1" s="1"/>
  <c r="G21" i="1"/>
  <c r="I21" i="1"/>
  <c r="I33" i="1"/>
  <c r="J33" i="1" s="1"/>
  <c r="I32" i="1"/>
  <c r="J32" i="1" s="1"/>
  <c r="I31" i="1"/>
  <c r="J31" i="1" s="1"/>
  <c r="J26" i="1" l="1"/>
  <c r="J21" i="1"/>
  <c r="I12" i="1"/>
  <c r="J12" i="1" s="1"/>
  <c r="I54" i="1"/>
  <c r="J54" i="1" s="1"/>
  <c r="I55" i="1" s="1"/>
  <c r="I16" i="1"/>
  <c r="J16" i="1" s="1"/>
  <c r="I50" i="1"/>
  <c r="J50" i="1" s="1"/>
  <c r="I52" i="1" s="1"/>
  <c r="I43" i="1"/>
  <c r="J43" i="1" s="1"/>
  <c r="I46" i="1" s="1"/>
  <c r="I23" i="1"/>
  <c r="I29" i="1"/>
  <c r="I22" i="1"/>
  <c r="J22" i="1" s="1"/>
  <c r="I18" i="1"/>
  <c r="J18" i="1" s="1"/>
  <c r="I17" i="1"/>
  <c r="J17" i="1" s="1"/>
  <c r="I19" i="1" l="1"/>
  <c r="J23" i="1"/>
  <c r="J29" i="1"/>
  <c r="I41" i="1" l="1"/>
  <c r="I11" i="1"/>
  <c r="J11" i="1" s="1"/>
  <c r="I14" i="1" s="1"/>
  <c r="J56" i="1" s="1"/>
  <c r="J57" i="1" s="1"/>
  <c r="P23" i="2"/>
  <c r="U21" i="2"/>
  <c r="P21" i="2"/>
  <c r="K21" i="2"/>
  <c r="I21" i="2"/>
  <c r="G7" i="2"/>
  <c r="G21" i="2" s="1"/>
  <c r="Z21" i="2" s="1"/>
  <c r="F14" i="3" l="1"/>
  <c r="E8" i="3" l="1"/>
  <c r="F8" i="3"/>
  <c r="E12" i="3" l="1"/>
  <c r="F10" i="3" l="1"/>
  <c r="F18" i="3" s="1"/>
  <c r="E10" i="3"/>
  <c r="E18" i="3" s="1"/>
  <c r="D9" i="3"/>
  <c r="D11" i="3" l="1"/>
  <c r="F17" i="3"/>
  <c r="D13" i="3"/>
  <c r="D15" i="3"/>
  <c r="D7" i="3"/>
  <c r="E17" i="3"/>
  <c r="D17" i="3" l="1"/>
</calcChain>
</file>

<file path=xl/sharedStrings.xml><?xml version="1.0" encoding="utf-8"?>
<sst xmlns="http://schemas.openxmlformats.org/spreadsheetml/2006/main" count="612" uniqueCount="267">
  <si>
    <t>PREFEITURA MUNICIPAL DE SARZEDO</t>
  </si>
  <si>
    <t>SECRETARIA MUNICIPAL DE OBRAS E URBANISMO</t>
  </si>
  <si>
    <t>OBRA</t>
  </si>
  <si>
    <t>LOCAL</t>
  </si>
  <si>
    <t>PRAZO DE EXECUÇÃO</t>
  </si>
  <si>
    <t>DATA</t>
  </si>
  <si>
    <t>REGIÃO DE REFERÊNCIA</t>
  </si>
  <si>
    <t>PLANILHAS DE REFERÊNCIA</t>
  </si>
  <si>
    <t>CENTRAL/MG</t>
  </si>
  <si>
    <t>SETOP</t>
  </si>
  <si>
    <t>CÓDIGO</t>
  </si>
  <si>
    <t>PLANILHA ORÇAMENTÁRIA</t>
  </si>
  <si>
    <t>ITEM</t>
  </si>
  <si>
    <t>REF.</t>
  </si>
  <si>
    <t>DESCRIÇÃO DOS SERVIÇOS</t>
  </si>
  <si>
    <t>QUANT.</t>
  </si>
  <si>
    <t>VALOR UNI S/ BDI</t>
  </si>
  <si>
    <t>VALOR UNI C/ BDI</t>
  </si>
  <si>
    <t xml:space="preserve">VALOR TOTAL </t>
  </si>
  <si>
    <t>VALOR TOTAL</t>
  </si>
  <si>
    <t>UNI</t>
  </si>
  <si>
    <t>BDI 1</t>
  </si>
  <si>
    <t>SINAPI</t>
  </si>
  <si>
    <t>ADMINISTRAÇÃO LOCAL</t>
  </si>
  <si>
    <t>SERVIÇOS PRELIMINARES</t>
  </si>
  <si>
    <t>M2</t>
  </si>
  <si>
    <t>M</t>
  </si>
  <si>
    <t>VALOR TOTAL DOS SERVIÇOS</t>
  </si>
  <si>
    <t>BDI</t>
  </si>
  <si>
    <t>CONSTRUÇÃO DE EDIFÍCIOS</t>
  </si>
  <si>
    <t>CONTRATANTE:</t>
  </si>
  <si>
    <t>PREFEITURA MUNICIPAL DE SARZEDO - MG</t>
  </si>
  <si>
    <t>PLANILHA MODELO:</t>
  </si>
  <si>
    <t>REV_00</t>
  </si>
  <si>
    <t>CONSTRUÇÃO DE RODOVIAS E FERROVIAS</t>
  </si>
  <si>
    <t>CONTRATADA:</t>
  </si>
  <si>
    <t>NÃO DESONERADA</t>
  </si>
  <si>
    <t>CONSTRUÇÃO DE REDES DE ABASTECIMENTO DE ÁGUA, COLETA DE ESGOTO E CONSTRUÇÕES CORRELATAS</t>
  </si>
  <si>
    <t>PROJETO:</t>
  </si>
  <si>
    <t>TERCEIRO QUARTIL</t>
  </si>
  <si>
    <t>CONSTRUÇÃO DE MANUNTEÇÃO DE ESTAÇÕES E REDES DE DISTRIBUIÇÃO DE ENERGIA ELÉTRICA</t>
  </si>
  <si>
    <t>OBRAS PORTUÁRIAS, MARÍTIMAS E FLUVIAIS</t>
  </si>
  <si>
    <t>CAEMA</t>
  </si>
  <si>
    <t>AC =</t>
  </si>
  <si>
    <t>ADMINISTRAÇÃO CENTRAL =</t>
  </si>
  <si>
    <t>S + G =</t>
  </si>
  <si>
    <t>SEGURO + GARANTIAS =</t>
  </si>
  <si>
    <t>QUARTIL MÉDIO</t>
  </si>
  <si>
    <t>1 QUARTIL</t>
  </si>
  <si>
    <t>3 QUARTIL</t>
  </si>
  <si>
    <t>R =</t>
  </si>
  <si>
    <t>RISCO =</t>
  </si>
  <si>
    <t>ADM</t>
  </si>
  <si>
    <t>SG</t>
  </si>
  <si>
    <t>RI</t>
  </si>
  <si>
    <t>DF</t>
  </si>
  <si>
    <t>LU</t>
  </si>
  <si>
    <t>DF =</t>
  </si>
  <si>
    <t>DESPESAS FINANCEIRAS =</t>
  </si>
  <si>
    <t>L =</t>
  </si>
  <si>
    <t>LUCRO =</t>
  </si>
  <si>
    <t>I =</t>
  </si>
  <si>
    <t>IMPOSTOS =</t>
  </si>
  <si>
    <t>COFINS</t>
  </si>
  <si>
    <t>PIS</t>
  </si>
  <si>
    <t>ISS</t>
  </si>
  <si>
    <t>CPRB</t>
  </si>
  <si>
    <t>-</t>
  </si>
  <si>
    <t>BDI =</t>
  </si>
  <si>
    <t>[</t>
  </si>
  <si>
    <t>[(</t>
  </si>
  <si>
    <t>+</t>
  </si>
  <si>
    <t>)x</t>
  </si>
  <si>
    <t>(</t>
  </si>
  <si>
    <t>)]</t>
  </si>
  <si>
    <t>]</t>
  </si>
  <si>
    <t>=</t>
  </si>
  <si>
    <t>)</t>
  </si>
  <si>
    <t>1 - FORMULA CONFORME ACORDAO nº 2622/2013 TCU - PLENÁRIO</t>
  </si>
  <si>
    <t>CRONOGRAMA FÍSICO-FINANCEIRO</t>
  </si>
  <si>
    <t>SECRETARIA MUNICIPAL DE OBRAS  E URBANISMO</t>
  </si>
  <si>
    <t>ETAPAS / DESCRIÇÃO</t>
  </si>
  <si>
    <t>FÍSICO/ FINANCEIRO</t>
  </si>
  <si>
    <t>TOTAL  ETAPAS</t>
  </si>
  <si>
    <t>MÊS 1</t>
  </si>
  <si>
    <t>MÊS 2</t>
  </si>
  <si>
    <t>MÊS 3</t>
  </si>
  <si>
    <t>SERVIÇO: ÁREA EXTERNA ESCOLA MASTERVILLE</t>
  </si>
  <si>
    <t>Físico %</t>
  </si>
  <si>
    <t>Financeiro</t>
  </si>
  <si>
    <t>TOTAL</t>
  </si>
  <si>
    <t>Allefer Rocha Araujo</t>
  </si>
  <si>
    <t>Eng. Civil, CREA/MG: 253.417/D</t>
  </si>
  <si>
    <t>H</t>
  </si>
  <si>
    <t>ALLEFER ROCHA ARAUJO</t>
  </si>
  <si>
    <t>ENGENHEIRO CIVIL CREA 253.417/D</t>
  </si>
  <si>
    <t>OUTUBRO DE 2023</t>
  </si>
  <si>
    <t xml:space="preserve">ED-16348 </t>
  </si>
  <si>
    <t>MÊS</t>
  </si>
  <si>
    <t>ED-50155</t>
  </si>
  <si>
    <t>LOCAÇÃO DE CONTAINER COM ISOLAMENTO TÉRMICO, TIPO 1, PARA ESCRITÓRIO DE OBRA, COM MEDIDAS REFERENCIAIS DE (6) METROS COMPRIMENTO, (2,3) METROS LARGURA E (2,5) METROS ALTURA ÚTIL INTERNA, INCLUSIVE AR CONDICIONADO E LIGAÇÕES ELÉTRICAS INTERNAS, EXCLUSIVE MOBILIZAÇÃO/ DESMOBILIZAÇÃO E LIGAÇÕES PROVISÓRIAS EXTERNAS</t>
  </si>
  <si>
    <t>LOCAÇÃO DE BANHEIRO QUÍMICO, DIMENSÃO (110X120X230)CM, LINHA PADRÃO, CONTENDO UMA (1) PIA/HIGIENIZADOR DE MÃOS, INCLUSIVE MANUTENÇÃO E MOBILIZAÇÃO/DESMOBILIZAÇÃO</t>
  </si>
  <si>
    <t>ENGENHEIRO CIVIL DE OBRA PLENO COM ENCARGOS COMPLEMENTARES</t>
  </si>
  <si>
    <t>M3</t>
  </si>
  <si>
    <t>LIMPEZA GERAL DE OBRA</t>
  </si>
  <si>
    <t>ED-50266</t>
  </si>
  <si>
    <t>LIMPEZA FINAL PARA ENTREGA DA OBRA</t>
  </si>
  <si>
    <t>ED-50137</t>
  </si>
  <si>
    <t>MOBILIZAÇÃO E DESMOBILIZAÇÃO DE CONTAINER, INCLUSIVE CARGA, DESCARGA E TRANSPORTE EM CAMINHÃO CARROCERIA COM GUINDAUTO (MUNCK), EXCLUSIVE LOCAÇÃO DO CONTAINER</t>
  </si>
  <si>
    <t>RUA RIO AIMORÉS, Nº 53 - JARDIM PLANALTO</t>
  </si>
  <si>
    <t>REFORMA E AMPLIAÇÃO DA ESCOLA ALAÍDE DE OLIVEIRA SALES</t>
  </si>
  <si>
    <t>ED-48514</t>
  </si>
  <si>
    <t>REMOÇÃO MANUAL DE TELHA CERÂMICA, COM REAPROVEITAMENTO, INCLUSIVE AFASTAMENTO E EMPILHAMENTO, EXCLUSIVE TRANSPORTE E RETIRADA DO MATERIAL REMOVIDO NÃO REAPROVEITÁVEL</t>
  </si>
  <si>
    <t>ED-48457</t>
  </si>
  <si>
    <t>REMOÇÃO MANUAL DE ENGRADAMENTO PARA TELHA TIPO CERÂMICA OU CONCRETO, INCLUSIVE AFASTAMENTO E EMPILHAMENTO, EXCLUSIVE TRANSPORTE E RETIRADA DO MATERIAL REMOVIDO NÃO REAPROVEITÁVEL</t>
  </si>
  <si>
    <t>ED-48429</t>
  </si>
  <si>
    <t>COBERTURA EM TELHA METÁLICA GALVANIZADA TRAPEZOIDAL,
TIPO DUPLA TERMOACÚSTICA COM DUAS FACES TRAPEZOIDAIS, ESP. 0,43MM, PREENCHIMENTO EM POLIESTIRENO EXPANDIDO/ ISOPOR COM ESP. 30MM, ACABAMENTO NATURAL, INCLUSIVE ACESSÓRIOS PARA FIXAÇÃO, FORNECIMENTO E INSTALAÇÃO</t>
  </si>
  <si>
    <t>FORNECIMENTO DE ESTRUTURA METÁLICA E ENGRADAMENTO
METÁLICO, EM AÇO, SOBRE LAJE PARA TELHA CERÂMICA,
COBERTURA PADRÃO DO PRÉDIO ESCOLAR, EXCLUSIVE TELHA, INCLUSIVE FABRICAÇÃO, TRANSPORTE, MONTAGEM, APLICAÇÃO DE FUNDO PREPARADOR ANTICORROSIVO, UMA (1) DEMÃO E PINTURA ESMALTE, DUAS (2) DEMÃOS</t>
  </si>
  <si>
    <t>ED-9075</t>
  </si>
  <si>
    <t>FORNECIMENTO DE ANDAIME METÁLICO PARA FACHADA ( LOCAÇÃO), INCLUSIVE PISO METÁLICO E SAPATAS, EXCLUSIVE MONTAGEM E DESMONTAGEM</t>
  </si>
  <si>
    <t>M2xMês</t>
  </si>
  <si>
    <t>ED-51126</t>
  </si>
  <si>
    <t>TRANSPORTE DE MATERIAL DEMOLIDO EM CAÇAMBA (MUNICÍPIO: BELO HORIZONTE), EXCLUSIVE CARGA MANUAL OU MECÂNICA</t>
  </si>
  <si>
    <t>ED-51131</t>
  </si>
  <si>
    <t>CARGA MANUAL DE MATERIAL DE QUALQUER NATUREZA SOBRECAMINHÃO, EXCLUSIVE TRANSPORTE</t>
  </si>
  <si>
    <t>ED-20603</t>
  </si>
  <si>
    <t>KG</t>
  </si>
  <si>
    <t xml:space="preserve">ED-48509 </t>
  </si>
  <si>
    <t>REMOÇÃO MANUAL DE TELHA METÁLICA OU PVC, COM REAPROVEITAMENTO, INCLUSIVE AFASTAMENTO E EMPILHAMENTO, EXCLUSIVE TRANSPORTE E RETIRADA DO MATERIAL REMOVIDO NÃO REAPROVEITÁVEL</t>
  </si>
  <si>
    <t>ED-50662</t>
  </si>
  <si>
    <t>CALHA EM CHAPA GALVANIZADA, ESP. 0,5MM (GSG-26), COM DESENVOLVIMENTO DE 40CM, INCLUSIVE IÇAMENTO MANUAL VERTICAL</t>
  </si>
  <si>
    <t>ED-48402</t>
  </si>
  <si>
    <t>COLOCAÇÃO DE CUMEEIRA GALVANIZADA TRAPEZOIDAL E = 0,50 MM, SIMPLES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</si>
  <si>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</si>
  <si>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</si>
  <si>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</si>
  <si>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</si>
  <si>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</si>
  <si>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</si>
  <si>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</si>
  <si>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</si>
  <si>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</si>
  <si>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</si>
  <si>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</si>
  <si>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</si>
  <si>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ED-48243</t>
  </si>
  <si>
    <t>CONDUTOR/DUTO DE ENTULHO EM POLIETILENO, INCLUSIVE ACESSÓRIOS DE FIXAÇÃO, SUPORTES, MONTAGEM/ DESMONTAGEM E REMANEJAMENTO</t>
  </si>
  <si>
    <t>MXMês</t>
  </si>
  <si>
    <t>ED-49910</t>
  </si>
  <si>
    <t>UNID</t>
  </si>
  <si>
    <t>3.13</t>
  </si>
  <si>
    <t>ED-48669</t>
  </si>
  <si>
    <t>FORNECIMENTO E ASSENTAMENTO DE TUBO PVC RÍGIDO, DRENAGEM/PLUVIAL, PBV - SÉRIE NORMAL, DN 100 MM (4"), INCLUSIVE CONEXÕES</t>
  </si>
  <si>
    <t>ED-50685</t>
  </si>
  <si>
    <t>RUFO E CONTRA-RUFO EM CHAPA GALVANIZADA, ESP. 0,5MM (GSG-26), COM DESENVOLVIMENTO DE 33CM, INCLUSIVE IÇAMENTO MANUAL VERTICAL</t>
  </si>
  <si>
    <t>CAIXA DE DRENAGEM DE INSPEÇÃO/PASSAGEM EM ALVENARIA (40X40X80CM), REVESTIMENTO EM ARGAMASSA COM ADITIVO IMPERMEABILIZANTE, COM TAMPA EM GRELHA, INCLUSIVE ESCAVAÇÃO, REATERRO E TRANSPORTE E RETIRADA DO MATERIAL ESCAVADO (EM CAÇAMBA)</t>
  </si>
  <si>
    <t>ED-48232</t>
  </si>
  <si>
    <t>ALVENARIA DE VEDAÇÃO COM TIJOLO CERÂMICO FURADO, ESP.14CM, PARA REVESTIMENTO, INCLUSIVE ARGAMASSA PARA ASSENTAMENTO</t>
  </si>
  <si>
    <t>ED-48433</t>
  </si>
  <si>
    <t>COLOCAÇÃO DE VEDA ONDA EM POLIETILENO PARA TELHA ONDULADA</t>
  </si>
  <si>
    <t>ED-50727</t>
  </si>
  <si>
    <t>CHAPISCO COM ARGAMASSA, TRAÇO 1:3 (CIMENTO E AREIA), ESP. 5MM, APLICADO EM ALVENARIA/ESTRUTURA DE CONCRETO COM COLHER, INCLUSIVE ARGAMASSA COM PREPARO MECANIZADO</t>
  </si>
  <si>
    <t>ED-50759</t>
  </si>
  <si>
    <t>REBOCO COM ARGAMASSA, TRAÇO 1:7 (CIMENTO E AREIA), ESP. 20MM, APLICAÇÃO MANUAL, INCLUSIVE ARGAMASSA COM PREPARO MECANIZADO, EXCLUSIVE CHAPISCO</t>
  </si>
  <si>
    <t>SUBSTITUIÇÃO DE PISO INTERNO</t>
  </si>
  <si>
    <t>60 DIAS</t>
  </si>
  <si>
    <t>REVESTIMENTO COM GRANITO, CINZA ANDORINHA, APLICADO EM PISO, ESP. 2CM, DIMENSÃO DA PEÇA ATÉ 1600 CM2, ASSENTAMENTO COM ARGAMASSA INDUSTRIALIZADA, INCLUSIVE REJUNTAMENTO</t>
  </si>
  <si>
    <t>ED-50576</t>
  </si>
  <si>
    <t>ED-50617</t>
  </si>
  <si>
    <t>LIMPEZA E POLIMENTO DE PISO GRANILITE/ MARMORITE, EXCLUSIVE RESINA</t>
  </si>
  <si>
    <t>ED-13289</t>
  </si>
  <si>
    <t>CAMADA DE REGULARIZAÇÃO COM ARGAMASSA, TRAÇO 1:4 ( CIMENTO E AREIA), ESP. 15MM, APLICAÇÃO MANUAL, INCLUSIVE ARGAMASSA COM PREPARO MECANIZADO</t>
  </si>
  <si>
    <t>ED-50772</t>
  </si>
  <si>
    <t>RODAPÉ COM REVESTIMENTO EM GRANITO, CINZA ANDORINHA, ESP. 2CM, ALTURA 7CM, ASSENTAMENTO COM ARGAMASSA INDUSTRIALIZADA, INCLUSIVE REJUNTAMENTO</t>
  </si>
  <si>
    <t>ÁREA DE PISO</t>
  </si>
  <si>
    <t>?</t>
  </si>
  <si>
    <t>CIRC</t>
  </si>
  <si>
    <t>WC</t>
  </si>
  <si>
    <t>SALA DOS PROFESSORES</t>
  </si>
  <si>
    <t>RECEPÇÃO</t>
  </si>
  <si>
    <t>??</t>
  </si>
  <si>
    <t>DIRETORIA</t>
  </si>
  <si>
    <t>REFEITÓRIO</t>
  </si>
  <si>
    <t>COZINHA</t>
  </si>
  <si>
    <t>GAS</t>
  </si>
  <si>
    <t>A.S</t>
  </si>
  <si>
    <t>DEPOSITO</t>
  </si>
  <si>
    <t>PNE</t>
  </si>
  <si>
    <t>BANHEIRO</t>
  </si>
  <si>
    <t xml:space="preserve">BANHEIRO </t>
  </si>
  <si>
    <t>SALA</t>
  </si>
  <si>
    <t>CIRCULAÇÃO</t>
  </si>
  <si>
    <t>ROBÓTICA</t>
  </si>
  <si>
    <t>ESCADA</t>
  </si>
  <si>
    <t>RAMPA</t>
  </si>
  <si>
    <t>ANEXO</t>
  </si>
  <si>
    <t>TERREO</t>
  </si>
  <si>
    <t>1º PAVIMENTO</t>
  </si>
  <si>
    <t xml:space="preserve">1º PAVIMENTO </t>
  </si>
  <si>
    <t>SALA 1</t>
  </si>
  <si>
    <t>SALA 2</t>
  </si>
  <si>
    <t>SALA 3</t>
  </si>
  <si>
    <t>BIBLIOTECA</t>
  </si>
  <si>
    <t>SALA 4</t>
  </si>
  <si>
    <t>SALA 5</t>
  </si>
  <si>
    <t>SALA 6</t>
  </si>
  <si>
    <t>ÁREA DE PISO TOTAL</t>
  </si>
  <si>
    <t>(16,60*39,50)+(9,35*22,00)</t>
  </si>
  <si>
    <t>ED-21776</t>
  </si>
  <si>
    <t>ENCARREGADO GERAL DE OBRAS COM ENCARGOS COMPLEMENTARES</t>
  </si>
  <si>
    <t>MêS</t>
  </si>
  <si>
    <t>CO-27473</t>
  </si>
  <si>
    <t>PROJETO EXECUTIVO DE ENGRADAMENTO METÁLICO</t>
  </si>
  <si>
    <t>PR A1</t>
  </si>
  <si>
    <t>ESCAVAÇÃO MANUAL DE VALA COM PROFUNDIDADE MENOR OU IGUAL A 1,5M, INCLUSIVE DESCARGA LATERAL</t>
  </si>
  <si>
    <t>APILOAMENTO MANUAL EM FUNDO DE VALA COM SOQUETE, EXCLUSIVE ESCAVAÇÃO</t>
  </si>
  <si>
    <t>FORNECIMENTO E ASSENTAMENTO DE TUBO PVC RÍGIDO, ESGOTO, PBV - SÉRIE NORMAL, DN 200 MM (8"), INCLUSIVE CONEXÕES</t>
  </si>
  <si>
    <t>ENVELOPE DE CONCRETO PARA PROTEÇÃO DE TUBOS DE PVC ENTERRADO - CONCRETO TIPO A FCK = 13,5 MPA</t>
  </si>
  <si>
    <t>REATERRO MANUAL DE VALA, INCLUSIVE ESPALHAMENTO E COMPACTAÇÃO MANUAL COM SOQUETE</t>
  </si>
  <si>
    <t>ED-51107</t>
  </si>
  <si>
    <t>ED-51093</t>
  </si>
  <si>
    <t>ED-50031</t>
  </si>
  <si>
    <t>ED-49334</t>
  </si>
  <si>
    <t>ED-51120</t>
  </si>
  <si>
    <t>ALVENARIA DE FECHAMENTO  DO TELHADO</t>
  </si>
  <si>
    <t>COMPRIMENTO DOS RODAPÉS</t>
  </si>
  <si>
    <t>HORIZONTAL</t>
  </si>
  <si>
    <t>1º PAV</t>
  </si>
  <si>
    <t>VERTICAL</t>
  </si>
  <si>
    <t>RODAPÉ - PERÍMETRO</t>
  </si>
  <si>
    <t>SUBSTITUIÇÃO DE TELHADO</t>
  </si>
  <si>
    <t>AREA DO TELHADO</t>
  </si>
  <si>
    <t>90 DIAS</t>
  </si>
  <si>
    <t>NOVEMBRO DE 2023</t>
  </si>
  <si>
    <t>1.1</t>
  </si>
  <si>
    <t>1.2</t>
  </si>
  <si>
    <t>1.3</t>
  </si>
  <si>
    <t>2.1</t>
  </si>
  <si>
    <t>2.2</t>
  </si>
  <si>
    <t>2.3</t>
  </si>
  <si>
    <t>3.14</t>
  </si>
  <si>
    <t>3.15</t>
  </si>
  <si>
    <t>3.16</t>
  </si>
  <si>
    <t>3.17</t>
  </si>
  <si>
    <t>3.18</t>
  </si>
  <si>
    <t>3.19</t>
  </si>
  <si>
    <t>4.1</t>
  </si>
  <si>
    <t>4.2</t>
  </si>
  <si>
    <t>4.3</t>
  </si>
  <si>
    <t>6.1</t>
  </si>
  <si>
    <t>LOCAL: RUA RIO AIMORÉS, Nº 53 JARDIM PLANALTO</t>
  </si>
  <si>
    <t>DATA: 23/11/2023                                    PRAZO DA OBRA: 3 MESES</t>
  </si>
  <si>
    <t>1.4</t>
  </si>
  <si>
    <t>ED-28427</t>
  </si>
  <si>
    <t>FORNECIMENTO E COLOCAÇÃO DE PLACA DE OBRA EM CHAPA
GALVANIZADA #26, ESP. 0,45MM, DIMENSÃO (3X1,5)M, PLOTADA
COM ADESIVO VINÍLICO, AFIXADA COM REBITES 4,8X40MM, EM ESTRUTURA METÁLICA DE METALON 20X20MM, ESP. 1,25MM, INCLUSIVE SUPORTE EM EUCALIPTO AUTOCLAVADO PINTADO COM TINTA PVA DUAS (2) DEMÃOS</t>
  </si>
  <si>
    <t xml:space="preserve">SETOP AGO/2023  SINAPI SET/2023   </t>
  </si>
  <si>
    <t>ED-48428</t>
  </si>
  <si>
    <t>COBERTURA EM TELHA METÁLICA GALVANIZADA TRAPEZOIDAL, TIPO SIMPLES, ESP. 0,50MM, ACABAMENTO NATURAL, INCLUSIVE ACESSÓRIOS PARA FIXAÇÃO, FORNECIMENTO E INSTALAÇÃO</t>
  </si>
  <si>
    <t>ED-50668</t>
  </si>
  <si>
    <t>CONDUTOR CIRCULAR DE ÁGUA PLUVIAL PARA DO TELHADO EM TUBO DE PVC, DIÂMETRO DE 100MM, INCLUSIVE CONEXÕES E SUPORTES</t>
  </si>
  <si>
    <t>3.20</t>
  </si>
  <si>
    <t>3.21</t>
  </si>
  <si>
    <t>SUBSTIUIÇÃO DE COBERTURA DA ESCOLA MUNICIPAL ALAÍDE DE OLIVEIRA SALES</t>
  </si>
  <si>
    <t>SERVIÇO: SUBSTITUIÇÃO DA COBERTURA DA ESCOLA MUNICIPAL ALAÍDE DE OLIVEIRA SALES</t>
  </si>
  <si>
    <t>SUBSTITUIÇÃO DA COBERTURA DA ESCOLA MUNICIPAL ALAÍDE DE OLIVEIRA SALES</t>
  </si>
  <si>
    <t>ED-50495</t>
  </si>
  <si>
    <t>PINTURA ANTICORROSIVA A BASE DE ÓXIDO DE FERRO (ZARCÃO) EM ESQUADRIA E SUPERFÍCIE METÁLICA, UMA (1) DEMÃO (cor branco)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</si>
</sst>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0.000"/>
    <numFmt numFmtId="166" formatCode="_(* #,##0.00_);_(* \(#,##0.00\);_(* \-??_);_(@_)"/>
    <numFmt numFmtId="167" formatCode="0.0000"/>
    <numFmt numFmtId="168" formatCode="_-&quot;R$&quot;\ * #,##0.0000_-;\-&quot;R$&quot;\ * #,##0.0000_-;_-&quot;R$&quot;\ * &quot;-&quot;??_-;_-@_-"/>
    <numFmt numFmtId="169" formatCode="#,##0.000"/>
    <numFmt numFmtId="170" formatCode="&quot;R$&quot;\ #,##0.0000"/>
    <numFmt numFmtId="171" formatCode="&quot;R$&quot;\ #,##0.00"/>
    <numFmt numFmtId="172" formatCode="&quot;R$ &quot;#,##0.00"/>
    <numFmt numFmtId="173" formatCode="&quot;R$&quot;#,##0.00_);[Red]&quot;(R$&quot;#,##0.00\)"/>
    <numFmt numFmtId="174" formatCode="0.0000%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1"/>
      <color rgb="FF00206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MS Sans Serif"/>
      <family val="2"/>
    </font>
    <font>
      <sz val="11"/>
      <name val="Arial"/>
      <family val="2"/>
    </font>
    <font>
      <sz val="10"/>
      <name val="Times New Roman"/>
      <family val="1"/>
    </font>
    <font>
      <sz val="10"/>
      <name val="Courier"/>
      <family val="3"/>
    </font>
    <font>
      <b/>
      <sz val="10"/>
      <name val="Times New Roman"/>
      <family val="1"/>
    </font>
    <font>
      <u/>
      <sz val="11"/>
      <color indexed="12"/>
      <name val="Arial"/>
      <family val="2"/>
    </font>
    <font>
      <sz val="10"/>
      <name val="Courier New"/>
      <family val="3"/>
    </font>
    <font>
      <b/>
      <sz val="18"/>
      <color theme="3"/>
      <name val="Calibri Light"/>
      <family val="2"/>
      <scheme val="major"/>
    </font>
    <font>
      <b/>
      <sz val="12"/>
      <color theme="0"/>
      <name val="Arial"/>
      <family val="2"/>
    </font>
    <font>
      <sz val="10"/>
      <color theme="1"/>
      <name val="Arial"/>
      <family val="2"/>
    </font>
    <font>
      <b/>
      <sz val="10"/>
      <color theme="1" tint="0.14999847407452621"/>
      <name val="Arial"/>
      <family val="2"/>
    </font>
    <font>
      <sz val="10"/>
      <color theme="1" tint="0.14999847407452621"/>
      <name val="Arial"/>
      <family val="2"/>
    </font>
    <font>
      <b/>
      <sz val="12"/>
      <color rgb="FF003399"/>
      <name val="Arial"/>
      <family val="2"/>
    </font>
    <font>
      <sz val="8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6"/>
      <color rgb="FF000000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color indexed="8"/>
      <name val="Arial"/>
      <family val="2"/>
    </font>
  </fonts>
  <fills count="6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gray0625">
        <fgColor indexed="9"/>
        <bgColor theme="0"/>
      </patternFill>
    </fill>
    <fill>
      <patternFill patternType="gray0625">
        <fgColor indexed="9"/>
        <bgColor theme="9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70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4" applyNumberFormat="0" applyAlignment="0" applyProtection="0"/>
    <xf numFmtId="0" fontId="7" fillId="4" borderId="5" applyNumberFormat="0" applyAlignment="0" applyProtection="0"/>
    <xf numFmtId="0" fontId="8" fillId="4" borderId="4" applyNumberFormat="0" applyAlignment="0" applyProtection="0"/>
    <xf numFmtId="0" fontId="9" fillId="0" borderId="6" applyNumberFormat="0" applyFill="0" applyAlignment="0" applyProtection="0"/>
    <xf numFmtId="0" fontId="10" fillId="5" borderId="7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9" applyNumberFormat="0" applyFill="0" applyAlignment="0" applyProtection="0"/>
    <xf numFmtId="0" fontId="14" fillId="7" borderId="0" applyNumberFormat="0" applyBorder="0" applyAlignment="0" applyProtection="0"/>
    <xf numFmtId="0" fontId="1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" fillId="21" borderId="0" applyNumberFormat="0" applyBorder="0" applyAlignment="0" applyProtection="0"/>
    <xf numFmtId="0" fontId="1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8" fillId="0" borderId="0"/>
    <xf numFmtId="0" fontId="22" fillId="31" borderId="0" applyNumberFormat="0" applyBorder="0" applyAlignment="0" applyProtection="0"/>
    <xf numFmtId="0" fontId="22" fillId="32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1" fillId="17" borderId="0" applyNumberFormat="0" applyBorder="0" applyAlignment="0" applyProtection="0"/>
    <xf numFmtId="0" fontId="23" fillId="41" borderId="0" applyNumberFormat="0" applyBorder="0" applyAlignment="0" applyProtection="0"/>
    <xf numFmtId="0" fontId="23" fillId="38" borderId="0" applyNumberFormat="0" applyBorder="0" applyAlignment="0" applyProtection="0"/>
    <xf numFmtId="0" fontId="23" fillId="39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23" fillId="44" borderId="0" applyNumberFormat="0" applyBorder="0" applyAlignment="0" applyProtection="0"/>
    <xf numFmtId="0" fontId="14" fillId="18" borderId="0" applyNumberFormat="0" applyBorder="0" applyAlignment="0" applyProtection="0"/>
    <xf numFmtId="0" fontId="14" fillId="22" borderId="0" applyNumberFormat="0" applyBorder="0" applyAlignment="0" applyProtection="0"/>
    <xf numFmtId="0" fontId="14" fillId="30" borderId="0" applyNumberFormat="0" applyBorder="0" applyAlignment="0" applyProtection="0"/>
    <xf numFmtId="0" fontId="23" fillId="45" borderId="0" applyNumberFormat="0" applyBorder="0" applyAlignment="0" applyProtection="0"/>
    <xf numFmtId="0" fontId="23" fillId="46" borderId="0" applyNumberFormat="0" applyBorder="0" applyAlignment="0" applyProtection="0"/>
    <xf numFmtId="0" fontId="23" fillId="47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23" fillId="48" borderId="0" applyNumberFormat="0" applyBorder="0" applyAlignment="0" applyProtection="0"/>
    <xf numFmtId="0" fontId="29" fillId="32" borderId="0" applyNumberFormat="0" applyBorder="0" applyAlignment="0" applyProtection="0"/>
    <xf numFmtId="0" fontId="25" fillId="49" borderId="14" applyNumberFormat="0" applyAlignment="0" applyProtection="0"/>
    <xf numFmtId="0" fontId="26" fillId="50" borderId="15" applyNumberFormat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24" fillId="33" borderId="0" applyNumberFormat="0" applyBorder="0" applyAlignment="0" applyProtection="0"/>
    <xf numFmtId="0" fontId="35" fillId="0" borderId="17" applyNumberFormat="0" applyFill="0" applyAlignment="0" applyProtection="0"/>
    <xf numFmtId="0" fontId="36" fillId="0" borderId="18" applyNumberFormat="0" applyFill="0" applyAlignment="0" applyProtection="0"/>
    <xf numFmtId="0" fontId="37" fillId="0" borderId="19" applyNumberFormat="0" applyFill="0" applyAlignment="0" applyProtection="0"/>
    <xf numFmtId="0" fontId="37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1" fillId="0" borderId="0"/>
    <xf numFmtId="0" fontId="28" fillId="36" borderId="14" applyNumberFormat="0" applyAlignment="0" applyProtection="0"/>
    <xf numFmtId="0" fontId="27" fillId="0" borderId="16" applyNumberFormat="0" applyFill="0" applyAlignment="0" applyProtection="0"/>
    <xf numFmtId="0" fontId="18" fillId="0" borderId="0">
      <alignment horizontal="centerContinuous" vertical="justify"/>
    </xf>
    <xf numFmtId="165" fontId="19" fillId="51" borderId="20"/>
    <xf numFmtId="44" fontId="22" fillId="0" borderId="0" applyFont="0" applyFill="0" applyBorder="0" applyAlignment="0" applyProtection="0"/>
    <xf numFmtId="164" fontId="39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30" fillId="52" borderId="0" applyNumberFormat="0" applyBorder="0" applyAlignment="0" applyProtection="0"/>
    <xf numFmtId="0" fontId="42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41" fillId="0" borderId="0"/>
    <xf numFmtId="0" fontId="41" fillId="0" borderId="0"/>
    <xf numFmtId="0" fontId="1" fillId="0" borderId="0"/>
    <xf numFmtId="0" fontId="18" fillId="0" borderId="0"/>
    <xf numFmtId="0" fontId="16" fillId="0" borderId="0"/>
    <xf numFmtId="0" fontId="38" fillId="0" borderId="0"/>
    <xf numFmtId="0" fontId="18" fillId="0" borderId="0"/>
    <xf numFmtId="0" fontId="44" fillId="0" borderId="0"/>
    <xf numFmtId="0" fontId="39" fillId="0" borderId="0"/>
    <xf numFmtId="0" fontId="4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1" fillId="0" borderId="0"/>
    <xf numFmtId="0" fontId="41" fillId="0" borderId="0"/>
    <xf numFmtId="0" fontId="21" fillId="0" borderId="0"/>
    <xf numFmtId="0" fontId="41" fillId="0" borderId="0"/>
    <xf numFmtId="0" fontId="41" fillId="0" borderId="0"/>
    <xf numFmtId="0" fontId="21" fillId="0" borderId="0"/>
    <xf numFmtId="0" fontId="1" fillId="0" borderId="0"/>
    <xf numFmtId="0" fontId="22" fillId="0" borderId="0"/>
    <xf numFmtId="0" fontId="18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8" fillId="0" borderId="0"/>
    <xf numFmtId="0" fontId="41" fillId="0" borderId="0"/>
    <xf numFmtId="0" fontId="41" fillId="0" borderId="0"/>
    <xf numFmtId="0" fontId="18" fillId="0" borderId="0"/>
    <xf numFmtId="0" fontId="18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8" fillId="0" borderId="0"/>
    <xf numFmtId="0" fontId="40" fillId="0" borderId="0"/>
    <xf numFmtId="0" fontId="41" fillId="0" borderId="0"/>
    <xf numFmtId="0" fontId="18" fillId="0" borderId="0"/>
    <xf numFmtId="0" fontId="39" fillId="0" borderId="0"/>
    <xf numFmtId="0" fontId="41" fillId="0" borderId="0"/>
    <xf numFmtId="0" fontId="16" fillId="0" borderId="0"/>
    <xf numFmtId="0" fontId="18" fillId="0" borderId="0"/>
    <xf numFmtId="0" fontId="18" fillId="0" borderId="0"/>
    <xf numFmtId="0" fontId="22" fillId="6" borderId="8" applyNumberFormat="0" applyFont="0" applyAlignment="0" applyProtection="0"/>
    <xf numFmtId="0" fontId="1" fillId="6" borderId="8" applyNumberFormat="0" applyFont="0" applyAlignment="0" applyProtection="0"/>
    <xf numFmtId="0" fontId="18" fillId="53" borderId="21" applyNumberFormat="0" applyFont="0" applyAlignment="0" applyProtection="0"/>
    <xf numFmtId="0" fontId="31" fillId="49" borderId="22" applyNumberFormat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39" fillId="0" borderId="0" applyFont="0" applyFill="0" applyBorder="0" applyAlignment="0" applyProtection="0"/>
    <xf numFmtId="38" fontId="3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166" fontId="18" fillId="0" borderId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1" fontId="40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166" fontId="18" fillId="0" borderId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1" fillId="0" borderId="0"/>
    <xf numFmtId="0" fontId="1" fillId="0" borderId="0"/>
    <xf numFmtId="0" fontId="1" fillId="6" borderId="8" applyNumberFormat="0" applyFont="0" applyAlignment="0" applyProtection="0"/>
    <xf numFmtId="9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18" fillId="51" borderId="2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1" fillId="0" borderId="0"/>
    <xf numFmtId="0" fontId="1" fillId="0" borderId="0"/>
    <xf numFmtId="0" fontId="1" fillId="6" borderId="8" applyNumberFormat="0" applyFont="0" applyAlignment="0" applyProtection="0"/>
    <xf numFmtId="9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6" borderId="8" applyNumberFormat="0" applyFont="0" applyAlignment="0" applyProtection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2" fontId="18" fillId="0" borderId="61">
      <alignment wrapText="1"/>
    </xf>
    <xf numFmtId="0" fontId="18" fillId="0" borderId="0"/>
    <xf numFmtId="44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9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6" fontId="18" fillId="0" borderId="0"/>
    <xf numFmtId="166" fontId="18" fillId="0" borderId="0"/>
    <xf numFmtId="43" fontId="1" fillId="0" borderId="0" applyFont="0" applyFill="0" applyBorder="0" applyAlignment="0" applyProtection="0"/>
    <xf numFmtId="173" fontId="18" fillId="0" borderId="0"/>
  </cellStyleXfs>
  <cellXfs count="302">
    <xf numFmtId="0" fontId="0" fillId="0" borderId="0" xfId="0"/>
    <xf numFmtId="0" fontId="15" fillId="0" borderId="0" xfId="0" applyFont="1"/>
    <xf numFmtId="0" fontId="15" fillId="0" borderId="13" xfId="0" applyFont="1" applyBorder="1"/>
    <xf numFmtId="44" fontId="15" fillId="0" borderId="0" xfId="0" applyNumberFormat="1" applyFont="1"/>
    <xf numFmtId="0" fontId="49" fillId="57" borderId="10" xfId="0" applyFont="1" applyFill="1" applyBorder="1" applyAlignment="1">
      <alignment horizontal="center" vertical="center"/>
    </xf>
    <xf numFmtId="0" fontId="49" fillId="57" borderId="10" xfId="0" applyFont="1" applyFill="1" applyBorder="1" applyAlignment="1">
      <alignment horizontal="left" vertical="center" wrapText="1"/>
    </xf>
    <xf numFmtId="0" fontId="15" fillId="57" borderId="0" xfId="0" applyFont="1" applyFill="1"/>
    <xf numFmtId="44" fontId="15" fillId="57" borderId="0" xfId="0" applyNumberFormat="1" applyFont="1" applyFill="1"/>
    <xf numFmtId="0" fontId="0" fillId="57" borderId="0" xfId="0" applyFill="1"/>
    <xf numFmtId="0" fontId="49" fillId="57" borderId="23" xfId="0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8" fillId="57" borderId="10" xfId="162" applyNumberFormat="1" applyFont="1" applyFill="1" applyBorder="1" applyAlignment="1">
      <alignment horizontal="center" vertical="center" wrapText="1"/>
    </xf>
    <xf numFmtId="0" fontId="47" fillId="57" borderId="0" xfId="0" applyFont="1" applyFill="1"/>
    <xf numFmtId="44" fontId="47" fillId="57" borderId="0" xfId="0" applyNumberFormat="1" applyFont="1" applyFill="1"/>
    <xf numFmtId="0" fontId="47" fillId="0" borderId="29" xfId="0" applyFont="1" applyBorder="1" applyAlignment="1">
      <alignment horizontal="center" vertical="center"/>
    </xf>
    <xf numFmtId="167" fontId="39" fillId="0" borderId="10" xfId="0" applyNumberFormat="1" applyFont="1" applyBorder="1" applyAlignment="1">
      <alignment horizontal="center"/>
    </xf>
    <xf numFmtId="0" fontId="47" fillId="0" borderId="10" xfId="0" applyFont="1" applyBorder="1" applyAlignment="1">
      <alignment horizontal="center" vertical="center"/>
    </xf>
    <xf numFmtId="0" fontId="47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8" fillId="54" borderId="23" xfId="0" applyFont="1" applyFill="1" applyBorder="1" applyAlignment="1">
      <alignment horizontal="center" vertical="center"/>
    </xf>
    <xf numFmtId="0" fontId="47" fillId="54" borderId="10" xfId="0" applyFont="1" applyFill="1" applyBorder="1" applyAlignment="1">
      <alignment horizontal="center" vertical="center"/>
    </xf>
    <xf numFmtId="0" fontId="49" fillId="54" borderId="33" xfId="0" applyFont="1" applyFill="1" applyBorder="1" applyAlignment="1">
      <alignment horizontal="center" vertical="center"/>
    </xf>
    <xf numFmtId="0" fontId="49" fillId="54" borderId="34" xfId="0" applyFont="1" applyFill="1" applyBorder="1" applyAlignment="1">
      <alignment horizontal="center" vertical="center"/>
    </xf>
    <xf numFmtId="44" fontId="53" fillId="57" borderId="0" xfId="0" applyNumberFormat="1" applyFont="1" applyFill="1"/>
    <xf numFmtId="44" fontId="52" fillId="57" borderId="0" xfId="0" applyNumberFormat="1" applyFont="1" applyFill="1"/>
    <xf numFmtId="44" fontId="48" fillId="57" borderId="0" xfId="0" applyNumberFormat="1" applyFont="1" applyFill="1" applyAlignment="1">
      <alignment vertical="center"/>
    </xf>
    <xf numFmtId="0" fontId="49" fillId="54" borderId="35" xfId="0" applyFont="1" applyFill="1" applyBorder="1" applyAlignment="1">
      <alignment horizontal="center" vertical="center"/>
    </xf>
    <xf numFmtId="44" fontId="47" fillId="54" borderId="0" xfId="252" applyFont="1" applyFill="1" applyBorder="1" applyAlignment="1">
      <alignment horizontal="center" vertical="center"/>
    </xf>
    <xf numFmtId="44" fontId="48" fillId="54" borderId="25" xfId="0" applyNumberFormat="1" applyFont="1" applyFill="1" applyBorder="1" applyAlignment="1">
      <alignment horizontal="center" vertical="center"/>
    </xf>
    <xf numFmtId="165" fontId="0" fillId="0" borderId="0" xfId="0" applyNumberFormat="1"/>
    <xf numFmtId="0" fontId="48" fillId="56" borderId="0" xfId="0" applyFont="1" applyFill="1" applyAlignment="1">
      <alignment horizontal="center" vertical="center"/>
    </xf>
    <xf numFmtId="0" fontId="48" fillId="56" borderId="0" xfId="0" applyFont="1" applyFill="1" applyAlignment="1">
      <alignment horizontal="center" vertical="center" wrapText="1"/>
    </xf>
    <xf numFmtId="0" fontId="48" fillId="56" borderId="25" xfId="0" applyFont="1" applyFill="1" applyBorder="1" applyAlignment="1">
      <alignment horizontal="center" vertical="center"/>
    </xf>
    <xf numFmtId="0" fontId="48" fillId="56" borderId="31" xfId="0" applyFont="1" applyFill="1" applyBorder="1" applyAlignment="1">
      <alignment horizontal="center" vertical="center"/>
    </xf>
    <xf numFmtId="44" fontId="48" fillId="56" borderId="25" xfId="0" applyNumberFormat="1" applyFont="1" applyFill="1" applyBorder="1" applyAlignment="1">
      <alignment vertical="center"/>
    </xf>
    <xf numFmtId="0" fontId="48" fillId="56" borderId="36" xfId="0" applyFont="1" applyFill="1" applyBorder="1" applyAlignment="1">
      <alignment horizontal="center" vertical="center"/>
    </xf>
    <xf numFmtId="44" fontId="48" fillId="56" borderId="25" xfId="0" applyNumberFormat="1" applyFont="1" applyFill="1" applyBorder="1" applyAlignment="1">
      <alignment horizontal="center" vertical="center"/>
    </xf>
    <xf numFmtId="0" fontId="48" fillId="0" borderId="33" xfId="0" applyFont="1" applyBorder="1" applyAlignment="1">
      <alignment horizontal="center" vertical="center"/>
    </xf>
    <xf numFmtId="0" fontId="48" fillId="0" borderId="34" xfId="0" applyFont="1" applyBorder="1" applyAlignment="1">
      <alignment horizontal="center" vertical="center"/>
    </xf>
    <xf numFmtId="0" fontId="48" fillId="0" borderId="34" xfId="0" applyFont="1" applyBorder="1" applyAlignment="1">
      <alignment horizontal="center" vertical="center" wrapText="1"/>
    </xf>
    <xf numFmtId="0" fontId="48" fillId="0" borderId="38" xfId="0" applyFont="1" applyBorder="1" applyAlignment="1">
      <alignment horizontal="center" vertical="center"/>
    </xf>
    <xf numFmtId="0" fontId="48" fillId="56" borderId="39" xfId="0" applyFont="1" applyFill="1" applyBorder="1" applyAlignment="1">
      <alignment horizontal="center" vertical="center"/>
    </xf>
    <xf numFmtId="0" fontId="48" fillId="56" borderId="0" xfId="0" applyFont="1" applyFill="1" applyAlignment="1">
      <alignment vertical="center"/>
    </xf>
    <xf numFmtId="44" fontId="48" fillId="56" borderId="0" xfId="0" applyNumberFormat="1" applyFont="1" applyFill="1" applyAlignment="1">
      <alignment horizontal="center" vertical="center"/>
    </xf>
    <xf numFmtId="0" fontId="47" fillId="54" borderId="0" xfId="0" applyFont="1" applyFill="1" applyAlignment="1">
      <alignment horizontal="center" vertical="center"/>
    </xf>
    <xf numFmtId="0" fontId="52" fillId="54" borderId="0" xfId="0" applyFont="1" applyFill="1" applyAlignment="1">
      <alignment horizontal="center" vertical="center" wrapText="1"/>
    </xf>
    <xf numFmtId="0" fontId="49" fillId="54" borderId="0" xfId="0" applyFont="1" applyFill="1" applyAlignment="1">
      <alignment horizontal="center" vertical="center"/>
    </xf>
    <xf numFmtId="2" fontId="49" fillId="54" borderId="0" xfId="0" applyNumberFormat="1" applyFont="1" applyFill="1" applyAlignment="1">
      <alignment horizontal="center" vertical="center"/>
    </xf>
    <xf numFmtId="44" fontId="49" fillId="54" borderId="0" xfId="0" applyNumberFormat="1" applyFont="1" applyFill="1" applyAlignment="1">
      <alignment horizontal="center" vertical="center"/>
    </xf>
    <xf numFmtId="10" fontId="47" fillId="0" borderId="29" xfId="251" applyNumberFormat="1" applyFont="1" applyBorder="1" applyAlignment="1">
      <alignment horizontal="center" vertical="center"/>
    </xf>
    <xf numFmtId="168" fontId="49" fillId="57" borderId="10" xfId="252" applyNumberFormat="1" applyFont="1" applyFill="1" applyBorder="1" applyAlignment="1">
      <alignment horizontal="center" vertical="center" wrapText="1"/>
    </xf>
    <xf numFmtId="168" fontId="49" fillId="57" borderId="29" xfId="252" applyNumberFormat="1" applyFont="1" applyFill="1" applyBorder="1" applyAlignment="1">
      <alignment horizontal="center" vertical="center"/>
    </xf>
    <xf numFmtId="167" fontId="49" fillId="57" borderId="10" xfId="0" applyNumberFormat="1" applyFont="1" applyFill="1" applyBorder="1" applyAlignment="1">
      <alignment horizontal="center" vertical="center"/>
    </xf>
    <xf numFmtId="168" fontId="47" fillId="57" borderId="10" xfId="252" applyNumberFormat="1" applyFont="1" applyFill="1" applyBorder="1" applyAlignment="1">
      <alignment horizontal="center" vertical="center"/>
    </xf>
    <xf numFmtId="168" fontId="49" fillId="57" borderId="10" xfId="0" applyNumberFormat="1" applyFont="1" applyFill="1" applyBorder="1" applyAlignment="1">
      <alignment horizontal="center" vertical="center"/>
    </xf>
    <xf numFmtId="168" fontId="49" fillId="57" borderId="29" xfId="0" applyNumberFormat="1" applyFont="1" applyFill="1" applyBorder="1" applyAlignment="1">
      <alignment horizontal="center" vertical="center"/>
    </xf>
    <xf numFmtId="168" fontId="49" fillId="57" borderId="10" xfId="252" applyNumberFormat="1" applyFont="1" applyFill="1" applyBorder="1" applyAlignment="1">
      <alignment horizontal="center" vertical="center"/>
    </xf>
    <xf numFmtId="0" fontId="0" fillId="58" borderId="0" xfId="0" applyFill="1"/>
    <xf numFmtId="10" fontId="0" fillId="58" borderId="0" xfId="0" applyNumberFormat="1" applyFill="1"/>
    <xf numFmtId="10" fontId="1" fillId="58" borderId="0" xfId="251" applyNumberFormat="1" applyFont="1" applyFill="1" applyProtection="1"/>
    <xf numFmtId="169" fontId="20" fillId="59" borderId="24" xfId="0" applyNumberFormat="1" applyFont="1" applyFill="1" applyBorder="1" applyAlignment="1">
      <alignment vertical="center"/>
    </xf>
    <xf numFmtId="0" fontId="18" fillId="59" borderId="0" xfId="0" applyFont="1" applyFill="1" applyAlignment="1">
      <alignment vertical="center"/>
    </xf>
    <xf numFmtId="0" fontId="0" fillId="58" borderId="0" xfId="0" applyFill="1" applyAlignment="1">
      <alignment wrapText="1"/>
    </xf>
    <xf numFmtId="0" fontId="0" fillId="57" borderId="27" xfId="0" applyFill="1" applyBorder="1"/>
    <xf numFmtId="0" fontId="0" fillId="57" borderId="28" xfId="0" applyFill="1" applyBorder="1"/>
    <xf numFmtId="0" fontId="0" fillId="57" borderId="28" xfId="0" applyFill="1" applyBorder="1" applyAlignment="1">
      <alignment horizontal="center" vertical="center"/>
    </xf>
    <xf numFmtId="0" fontId="0" fillId="57" borderId="41" xfId="0" applyFill="1" applyBorder="1"/>
    <xf numFmtId="0" fontId="0" fillId="57" borderId="24" xfId="0" applyFill="1" applyBorder="1"/>
    <xf numFmtId="0" fontId="55" fillId="57" borderId="0" xfId="0" applyFont="1" applyFill="1"/>
    <xf numFmtId="10" fontId="1" fillId="57" borderId="0" xfId="251" applyNumberFormat="1" applyFont="1" applyFill="1" applyProtection="1"/>
    <xf numFmtId="0" fontId="0" fillId="57" borderId="0" xfId="0" applyFill="1" applyAlignment="1">
      <alignment horizontal="center" vertical="center"/>
    </xf>
    <xf numFmtId="10" fontId="1" fillId="57" borderId="0" xfId="251" applyNumberFormat="1" applyFont="1" applyFill="1" applyAlignment="1" applyProtection="1">
      <alignment horizontal="center"/>
    </xf>
    <xf numFmtId="0" fontId="0" fillId="57" borderId="25" xfId="0" applyFill="1" applyBorder="1"/>
    <xf numFmtId="0" fontId="56" fillId="57" borderId="24" xfId="0" applyFont="1" applyFill="1" applyBorder="1"/>
    <xf numFmtId="0" fontId="56" fillId="57" borderId="0" xfId="0" applyFont="1" applyFill="1"/>
    <xf numFmtId="10" fontId="56" fillId="57" borderId="0" xfId="251" applyNumberFormat="1" applyFont="1" applyFill="1" applyProtection="1"/>
    <xf numFmtId="0" fontId="56" fillId="57" borderId="0" xfId="0" applyFont="1" applyFill="1" applyAlignment="1">
      <alignment horizontal="center" vertical="center"/>
    </xf>
    <xf numFmtId="10" fontId="56" fillId="57" borderId="0" xfId="251" applyNumberFormat="1" applyFont="1" applyFill="1" applyAlignment="1" applyProtection="1">
      <alignment horizontal="center"/>
    </xf>
    <xf numFmtId="0" fontId="56" fillId="57" borderId="25" xfId="0" applyFont="1" applyFill="1" applyBorder="1"/>
    <xf numFmtId="0" fontId="13" fillId="57" borderId="0" xfId="0" applyFont="1" applyFill="1"/>
    <xf numFmtId="0" fontId="13" fillId="57" borderId="0" xfId="0" applyFont="1" applyFill="1" applyAlignment="1">
      <alignment horizontal="center" vertical="center"/>
    </xf>
    <xf numFmtId="167" fontId="13" fillId="57" borderId="0" xfId="0" applyNumberFormat="1" applyFont="1" applyFill="1" applyAlignment="1">
      <alignment horizontal="center" vertical="center"/>
    </xf>
    <xf numFmtId="0" fontId="0" fillId="57" borderId="24" xfId="0" applyFill="1" applyBorder="1" applyAlignment="1">
      <alignment vertical="top"/>
    </xf>
    <xf numFmtId="0" fontId="0" fillId="57" borderId="0" xfId="0" applyFill="1" applyAlignment="1">
      <alignment vertical="top"/>
    </xf>
    <xf numFmtId="0" fontId="13" fillId="57" borderId="0" xfId="0" applyFont="1" applyFill="1" applyAlignment="1">
      <alignment horizontal="center" vertical="top"/>
    </xf>
    <xf numFmtId="0" fontId="13" fillId="57" borderId="0" xfId="0" applyFont="1" applyFill="1" applyAlignment="1">
      <alignment vertical="top"/>
    </xf>
    <xf numFmtId="167" fontId="13" fillId="57" borderId="0" xfId="0" applyNumberFormat="1" applyFont="1" applyFill="1" applyAlignment="1">
      <alignment horizontal="center" vertical="top"/>
    </xf>
    <xf numFmtId="0" fontId="0" fillId="57" borderId="25" xfId="0" applyFill="1" applyBorder="1" applyAlignment="1">
      <alignment vertical="top"/>
    </xf>
    <xf numFmtId="0" fontId="0" fillId="0" borderId="0" xfId="0" applyAlignment="1">
      <alignment vertical="top"/>
    </xf>
    <xf numFmtId="0" fontId="0" fillId="58" borderId="0" xfId="0" applyFill="1" applyAlignment="1">
      <alignment vertical="top"/>
    </xf>
    <xf numFmtId="0" fontId="55" fillId="57" borderId="45" xfId="0" applyFont="1" applyFill="1" applyBorder="1"/>
    <xf numFmtId="0" fontId="0" fillId="57" borderId="46" xfId="0" applyFill="1" applyBorder="1"/>
    <xf numFmtId="0" fontId="0" fillId="57" borderId="46" xfId="0" applyFill="1" applyBorder="1" applyAlignment="1">
      <alignment horizontal="center" vertical="center"/>
    </xf>
    <xf numFmtId="0" fontId="0" fillId="57" borderId="47" xfId="0" applyFill="1" applyBorder="1"/>
    <xf numFmtId="0" fontId="55" fillId="57" borderId="27" xfId="0" applyFont="1" applyFill="1" applyBorder="1"/>
    <xf numFmtId="0" fontId="55" fillId="57" borderId="28" xfId="0" applyFont="1" applyFill="1" applyBorder="1"/>
    <xf numFmtId="0" fontId="55" fillId="57" borderId="41" xfId="0" applyFont="1" applyFill="1" applyBorder="1"/>
    <xf numFmtId="0" fontId="58" fillId="57" borderId="24" xfId="0" applyFont="1" applyFill="1" applyBorder="1" applyAlignment="1">
      <alignment horizontal="centerContinuous"/>
    </xf>
    <xf numFmtId="0" fontId="55" fillId="57" borderId="0" xfId="0" applyFont="1" applyFill="1" applyAlignment="1">
      <alignment horizontal="centerContinuous"/>
    </xf>
    <xf numFmtId="0" fontId="55" fillId="57" borderId="25" xfId="0" applyFont="1" applyFill="1" applyBorder="1" applyAlignment="1">
      <alignment horizontal="centerContinuous"/>
    </xf>
    <xf numFmtId="0" fontId="55" fillId="57" borderId="46" xfId="0" applyFont="1" applyFill="1" applyBorder="1"/>
    <xf numFmtId="0" fontId="55" fillId="57" borderId="47" xfId="0" applyFont="1" applyFill="1" applyBorder="1"/>
    <xf numFmtId="0" fontId="0" fillId="58" borderId="0" xfId="0" applyFill="1" applyAlignment="1">
      <alignment horizontal="center" vertical="center"/>
    </xf>
    <xf numFmtId="0" fontId="18" fillId="62" borderId="0" xfId="106" applyFill="1"/>
    <xf numFmtId="0" fontId="20" fillId="62" borderId="10" xfId="106" applyFont="1" applyFill="1" applyBorder="1" applyAlignment="1">
      <alignment horizontal="center" vertical="center"/>
    </xf>
    <xf numFmtId="0" fontId="20" fillId="62" borderId="10" xfId="106" applyFont="1" applyFill="1" applyBorder="1" applyAlignment="1">
      <alignment horizontal="center" vertical="center" wrapText="1"/>
    </xf>
    <xf numFmtId="49" fontId="61" fillId="58" borderId="10" xfId="106" applyNumberFormat="1" applyFont="1" applyFill="1" applyBorder="1" applyAlignment="1">
      <alignment horizontal="center" vertical="top" wrapText="1"/>
    </xf>
    <xf numFmtId="10" fontId="18" fillId="62" borderId="0" xfId="106" applyNumberFormat="1" applyFill="1" applyAlignment="1">
      <alignment horizontal="center" vertical="top" wrapText="1"/>
    </xf>
    <xf numFmtId="10" fontId="20" fillId="62" borderId="0" xfId="106" applyNumberFormat="1" applyFont="1" applyFill="1"/>
    <xf numFmtId="0" fontId="20" fillId="62" borderId="0" xfId="106" applyFont="1" applyFill="1"/>
    <xf numFmtId="171" fontId="20" fillId="62" borderId="0" xfId="106" applyNumberFormat="1" applyFont="1" applyFill="1"/>
    <xf numFmtId="0" fontId="18" fillId="62" borderId="0" xfId="106" applyFill="1" applyAlignment="1">
      <alignment wrapText="1"/>
    </xf>
    <xf numFmtId="0" fontId="18" fillId="62" borderId="57" xfId="106" applyFill="1" applyBorder="1"/>
    <xf numFmtId="0" fontId="16" fillId="0" borderId="58" xfId="106" applyFont="1" applyBorder="1" applyAlignment="1">
      <alignment horizontal="center" vertical="center"/>
    </xf>
    <xf numFmtId="0" fontId="16" fillId="0" borderId="40" xfId="106" applyFont="1" applyBorder="1" applyAlignment="1">
      <alignment horizontal="center" vertical="center"/>
    </xf>
    <xf numFmtId="172" fontId="18" fillId="62" borderId="0" xfId="106" applyNumberFormat="1" applyFill="1"/>
    <xf numFmtId="0" fontId="18" fillId="62" borderId="46" xfId="106" applyFill="1" applyBorder="1"/>
    <xf numFmtId="0" fontId="18" fillId="62" borderId="46" xfId="106" applyFill="1" applyBorder="1" applyAlignment="1">
      <alignment wrapText="1"/>
    </xf>
    <xf numFmtId="0" fontId="18" fillId="62" borderId="24" xfId="106" applyFill="1" applyBorder="1"/>
    <xf numFmtId="0" fontId="16" fillId="0" borderId="0" xfId="106" applyFont="1" applyAlignment="1">
      <alignment horizontal="center" vertical="center"/>
    </xf>
    <xf numFmtId="0" fontId="47" fillId="0" borderId="0" xfId="0" applyFont="1"/>
    <xf numFmtId="44" fontId="15" fillId="0" borderId="0" xfId="252" applyFont="1"/>
    <xf numFmtId="0" fontId="18" fillId="62" borderId="40" xfId="106" applyFill="1" applyBorder="1"/>
    <xf numFmtId="0" fontId="18" fillId="62" borderId="25" xfId="106" applyFill="1" applyBorder="1"/>
    <xf numFmtId="0" fontId="18" fillId="62" borderId="47" xfId="106" applyFill="1" applyBorder="1"/>
    <xf numFmtId="0" fontId="20" fillId="62" borderId="23" xfId="106" applyFont="1" applyFill="1" applyBorder="1" applyAlignment="1">
      <alignment horizontal="center" vertical="center"/>
    </xf>
    <xf numFmtId="0" fontId="20" fillId="62" borderId="29" xfId="106" applyFont="1" applyFill="1" applyBorder="1" applyAlignment="1">
      <alignment horizontal="center" vertical="center" wrapText="1"/>
    </xf>
    <xf numFmtId="0" fontId="18" fillId="62" borderId="24" xfId="106" applyFill="1" applyBorder="1" applyAlignment="1">
      <alignment wrapText="1"/>
    </xf>
    <xf numFmtId="0" fontId="18" fillId="62" borderId="45" xfId="106" applyFill="1" applyBorder="1"/>
    <xf numFmtId="0" fontId="52" fillId="0" borderId="0" xfId="0" applyFont="1" applyAlignment="1">
      <alignment horizontal="center" vertical="center" wrapText="1"/>
    </xf>
    <xf numFmtId="0" fontId="58" fillId="0" borderId="0" xfId="0" applyFont="1" applyAlignment="1">
      <alignment horizontal="center" vertical="top" wrapText="1"/>
    </xf>
    <xf numFmtId="0" fontId="49" fillId="57" borderId="23" xfId="0" applyFont="1" applyFill="1" applyBorder="1" applyAlignment="1">
      <alignment horizontal="left" vertical="center" wrapText="1"/>
    </xf>
    <xf numFmtId="0" fontId="49" fillId="57" borderId="23" xfId="0" applyFont="1" applyFill="1" applyBorder="1" applyAlignment="1">
      <alignment horizontal="left" vertical="center"/>
    </xf>
    <xf numFmtId="167" fontId="49" fillId="57" borderId="23" xfId="0" applyNumberFormat="1" applyFont="1" applyFill="1" applyBorder="1" applyAlignment="1">
      <alignment horizontal="center" vertical="center"/>
    </xf>
    <xf numFmtId="0" fontId="18" fillId="57" borderId="10" xfId="0" applyFont="1" applyFill="1" applyBorder="1" applyAlignment="1">
      <alignment horizontal="center" vertical="center"/>
    </xf>
    <xf numFmtId="0" fontId="18" fillId="57" borderId="10" xfId="0" applyFont="1" applyFill="1" applyBorder="1" applyAlignment="1">
      <alignment horizontal="left" vertical="center" wrapText="1"/>
    </xf>
    <xf numFmtId="167" fontId="18" fillId="57" borderId="10" xfId="0" applyNumberFormat="1" applyFont="1" applyFill="1" applyBorder="1" applyAlignment="1">
      <alignment horizontal="center" vertical="center"/>
    </xf>
    <xf numFmtId="168" fontId="18" fillId="57" borderId="10" xfId="0" applyNumberFormat="1" applyFont="1" applyFill="1" applyBorder="1" applyAlignment="1">
      <alignment horizontal="center" vertical="center"/>
    </xf>
    <xf numFmtId="168" fontId="18" fillId="57" borderId="29" xfId="0" applyNumberFormat="1" applyFont="1" applyFill="1" applyBorder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left" vertical="center" wrapText="1"/>
    </xf>
    <xf numFmtId="168" fontId="49" fillId="0" borderId="10" xfId="0" applyNumberFormat="1" applyFont="1" applyBorder="1" applyAlignment="1">
      <alignment horizontal="center" vertical="center"/>
    </xf>
    <xf numFmtId="168" fontId="49" fillId="0" borderId="29" xfId="0" applyNumberFormat="1" applyFont="1" applyBorder="1" applyAlignment="1">
      <alignment horizontal="center" vertical="center"/>
    </xf>
    <xf numFmtId="0" fontId="49" fillId="57" borderId="33" xfId="0" applyFont="1" applyFill="1" applyBorder="1" applyAlignment="1">
      <alignment horizontal="center" vertical="center"/>
    </xf>
    <xf numFmtId="2" fontId="0" fillId="0" borderId="0" xfId="0" applyNumberFormat="1"/>
    <xf numFmtId="0" fontId="13" fillId="0" borderId="0" xfId="0" applyFont="1"/>
    <xf numFmtId="44" fontId="49" fillId="57" borderId="23" xfId="252" applyFont="1" applyFill="1" applyBorder="1" applyAlignment="1">
      <alignment horizontal="center" vertical="center"/>
    </xf>
    <xf numFmtId="44" fontId="49" fillId="57" borderId="29" xfId="252" applyFont="1" applyFill="1" applyBorder="1" applyAlignment="1">
      <alignment horizontal="center" vertical="center"/>
    </xf>
    <xf numFmtId="167" fontId="49" fillId="0" borderId="10" xfId="0" applyNumberFormat="1" applyFont="1" applyBorder="1" applyAlignment="1">
      <alignment horizontal="center" vertical="center"/>
    </xf>
    <xf numFmtId="167" fontId="18" fillId="0" borderId="10" xfId="0" applyNumberFormat="1" applyFont="1" applyBorder="1" applyAlignment="1">
      <alignment horizontal="center" vertical="center"/>
    </xf>
    <xf numFmtId="0" fontId="47" fillId="0" borderId="0" xfId="0" applyFont="1" applyAlignment="1">
      <alignment horizontal="center"/>
    </xf>
    <xf numFmtId="2" fontId="47" fillId="0" borderId="10" xfId="0" applyNumberFormat="1" applyFont="1" applyBorder="1" applyAlignment="1">
      <alignment horizontal="center" vertical="center"/>
    </xf>
    <xf numFmtId="171" fontId="48" fillId="54" borderId="35" xfId="252" applyNumberFormat="1" applyFont="1" applyFill="1" applyBorder="1" applyAlignment="1">
      <alignment vertical="center" wrapText="1"/>
    </xf>
    <xf numFmtId="171" fontId="48" fillId="54" borderId="35" xfId="252" applyNumberFormat="1" applyFont="1" applyFill="1" applyBorder="1" applyAlignment="1">
      <alignment vertical="center"/>
    </xf>
    <xf numFmtId="0" fontId="16" fillId="0" borderId="0" xfId="106" applyFont="1" applyAlignment="1">
      <alignment vertical="center"/>
    </xf>
    <xf numFmtId="0" fontId="16" fillId="62" borderId="0" xfId="106" applyFont="1" applyFill="1" applyAlignment="1">
      <alignment wrapText="1"/>
    </xf>
    <xf numFmtId="0" fontId="18" fillId="0" borderId="0" xfId="106" applyAlignment="1">
      <alignment vertical="center"/>
    </xf>
    <xf numFmtId="172" fontId="18" fillId="62" borderId="0" xfId="106" applyNumberFormat="1" applyFill="1" applyAlignment="1">
      <alignment wrapText="1"/>
    </xf>
    <xf numFmtId="10" fontId="18" fillId="62" borderId="10" xfId="106" applyNumberFormat="1" applyFill="1" applyBorder="1" applyAlignment="1">
      <alignment horizontal="center" vertical="center" wrapText="1"/>
    </xf>
    <xf numFmtId="10" fontId="18" fillId="0" borderId="10" xfId="251" applyNumberFormat="1" applyFont="1" applyBorder="1" applyAlignment="1">
      <alignment horizontal="center" vertical="center"/>
    </xf>
    <xf numFmtId="10" fontId="18" fillId="62" borderId="29" xfId="251" applyNumberFormat="1" applyFont="1" applyFill="1" applyBorder="1" applyAlignment="1">
      <alignment horizontal="center" vertical="center"/>
    </xf>
    <xf numFmtId="10" fontId="18" fillId="0" borderId="10" xfId="106" applyNumberFormat="1" applyBorder="1" applyAlignment="1">
      <alignment horizontal="center" vertical="center"/>
    </xf>
    <xf numFmtId="10" fontId="18" fillId="0" borderId="29" xfId="106" applyNumberFormat="1" applyBorder="1" applyAlignment="1">
      <alignment horizontal="center" vertical="center"/>
    </xf>
    <xf numFmtId="10" fontId="19" fillId="62" borderId="10" xfId="106" applyNumberFormat="1" applyFont="1" applyFill="1" applyBorder="1" applyAlignment="1">
      <alignment horizontal="center" vertical="center" wrapText="1"/>
    </xf>
    <xf numFmtId="10" fontId="19" fillId="62" borderId="29" xfId="106" applyNumberFormat="1" applyFont="1" applyFill="1" applyBorder="1" applyAlignment="1">
      <alignment horizontal="center" vertical="center" wrapText="1"/>
    </xf>
    <xf numFmtId="10" fontId="19" fillId="62" borderId="10" xfId="150" applyNumberFormat="1" applyFont="1" applyFill="1" applyBorder="1" applyAlignment="1">
      <alignment horizontal="center" vertical="center" wrapText="1"/>
    </xf>
    <xf numFmtId="10" fontId="19" fillId="62" borderId="29" xfId="150" applyNumberFormat="1" applyFont="1" applyFill="1" applyBorder="1" applyAlignment="1">
      <alignment horizontal="center" vertical="center" wrapText="1"/>
    </xf>
    <xf numFmtId="170" fontId="61" fillId="58" borderId="10" xfId="84" applyNumberFormat="1" applyFont="1" applyFill="1" applyBorder="1" applyAlignment="1">
      <alignment horizontal="center" vertical="center" wrapText="1"/>
    </xf>
    <xf numFmtId="170" fontId="61" fillId="61" borderId="10" xfId="84" applyNumberFormat="1" applyFont="1" applyFill="1" applyBorder="1" applyAlignment="1">
      <alignment horizontal="center" vertical="center" wrapText="1"/>
    </xf>
    <xf numFmtId="170" fontId="48" fillId="54" borderId="37" xfId="252" applyNumberFormat="1" applyFont="1" applyFill="1" applyBorder="1" applyAlignment="1">
      <alignment vertical="center"/>
    </xf>
    <xf numFmtId="44" fontId="15" fillId="0" borderId="0" xfId="252" applyFont="1" applyBorder="1"/>
    <xf numFmtId="44" fontId="49" fillId="57" borderId="0" xfId="252" applyFont="1" applyFill="1" applyBorder="1" applyAlignment="1">
      <alignment horizontal="center" vertical="center" wrapText="1"/>
    </xf>
    <xf numFmtId="174" fontId="15" fillId="0" borderId="0" xfId="251" applyNumberFormat="1" applyFont="1" applyBorder="1"/>
    <xf numFmtId="49" fontId="61" fillId="63" borderId="10" xfId="106" applyNumberFormat="1" applyFont="1" applyFill="1" applyBorder="1" applyAlignment="1">
      <alignment horizontal="center" vertical="top" wrapText="1"/>
    </xf>
    <xf numFmtId="168" fontId="20" fillId="63" borderId="10" xfId="252" applyNumberFormat="1" applyFont="1" applyFill="1" applyBorder="1" applyAlignment="1">
      <alignment horizontal="center" vertical="center"/>
    </xf>
    <xf numFmtId="168" fontId="20" fillId="63" borderId="10" xfId="106" applyNumberFormat="1" applyFont="1" applyFill="1" applyBorder="1" applyAlignment="1">
      <alignment horizontal="center" vertical="center" wrapText="1"/>
    </xf>
    <xf numFmtId="168" fontId="20" fillId="63" borderId="29" xfId="106" applyNumberFormat="1" applyFont="1" applyFill="1" applyBorder="1" applyAlignment="1">
      <alignment horizontal="center" vertical="center" wrapText="1"/>
    </xf>
    <xf numFmtId="49" fontId="19" fillId="0" borderId="10" xfId="106" applyNumberFormat="1" applyFont="1" applyBorder="1" applyAlignment="1">
      <alignment horizontal="center" vertical="top" wrapText="1"/>
    </xf>
    <xf numFmtId="10" fontId="18" fillId="0" borderId="10" xfId="251" applyNumberFormat="1" applyFont="1" applyFill="1" applyBorder="1" applyAlignment="1">
      <alignment horizontal="center" vertical="center" wrapText="1"/>
    </xf>
    <xf numFmtId="10" fontId="18" fillId="0" borderId="29" xfId="251" applyNumberFormat="1" applyFont="1" applyFill="1" applyBorder="1" applyAlignment="1">
      <alignment horizontal="center" vertical="center" wrapText="1"/>
    </xf>
    <xf numFmtId="49" fontId="61" fillId="64" borderId="10" xfId="106" applyNumberFormat="1" applyFont="1" applyFill="1" applyBorder="1" applyAlignment="1">
      <alignment horizontal="center" vertical="top" wrapText="1"/>
    </xf>
    <xf numFmtId="170" fontId="20" fillId="64" borderId="10" xfId="84" applyNumberFormat="1" applyFont="1" applyFill="1" applyBorder="1" applyAlignment="1">
      <alignment horizontal="center" vertical="center"/>
    </xf>
    <xf numFmtId="170" fontId="20" fillId="64" borderId="10" xfId="106" applyNumberFormat="1" applyFont="1" applyFill="1" applyBorder="1" applyAlignment="1">
      <alignment horizontal="center" vertical="center" wrapText="1"/>
    </xf>
    <xf numFmtId="170" fontId="20" fillId="64" borderId="29" xfId="106" applyNumberFormat="1" applyFont="1" applyFill="1" applyBorder="1" applyAlignment="1">
      <alignment horizontal="center" vertical="center" wrapText="1"/>
    </xf>
    <xf numFmtId="49" fontId="61" fillId="65" borderId="10" xfId="106" applyNumberFormat="1" applyFont="1" applyFill="1" applyBorder="1" applyAlignment="1">
      <alignment horizontal="center" vertical="top" wrapText="1"/>
    </xf>
    <xf numFmtId="170" fontId="20" fillId="65" borderId="10" xfId="84" applyNumberFormat="1" applyFont="1" applyFill="1" applyBorder="1" applyAlignment="1">
      <alignment horizontal="center" vertical="center"/>
    </xf>
    <xf numFmtId="170" fontId="20" fillId="65" borderId="10" xfId="106" applyNumberFormat="1" applyFont="1" applyFill="1" applyBorder="1" applyAlignment="1">
      <alignment horizontal="center" vertical="center" wrapText="1"/>
    </xf>
    <xf numFmtId="10" fontId="18" fillId="0" borderId="10" xfId="106" applyNumberFormat="1" applyBorder="1" applyAlignment="1">
      <alignment horizontal="center" vertical="center" wrapText="1"/>
    </xf>
    <xf numFmtId="10" fontId="18" fillId="0" borderId="29" xfId="106" applyNumberFormat="1" applyBorder="1" applyAlignment="1">
      <alignment horizontal="center" vertical="center" wrapText="1"/>
    </xf>
    <xf numFmtId="49" fontId="61" fillId="66" borderId="10" xfId="106" applyNumberFormat="1" applyFont="1" applyFill="1" applyBorder="1" applyAlignment="1">
      <alignment horizontal="center" vertical="top" wrapText="1"/>
    </xf>
    <xf numFmtId="170" fontId="20" fillId="66" borderId="10" xfId="84" applyNumberFormat="1" applyFont="1" applyFill="1" applyBorder="1" applyAlignment="1">
      <alignment horizontal="center" vertical="center"/>
    </xf>
    <xf numFmtId="170" fontId="20" fillId="66" borderId="10" xfId="106" applyNumberFormat="1" applyFont="1" applyFill="1" applyBorder="1" applyAlignment="1">
      <alignment horizontal="center" vertical="center" wrapText="1"/>
    </xf>
    <xf numFmtId="170" fontId="20" fillId="66" borderId="10" xfId="106" applyNumberFormat="1" applyFont="1" applyFill="1" applyBorder="1" applyAlignment="1">
      <alignment horizontal="center" vertical="center"/>
    </xf>
    <xf numFmtId="49" fontId="61" fillId="67" borderId="10" xfId="106" applyNumberFormat="1" applyFont="1" applyFill="1" applyBorder="1" applyAlignment="1">
      <alignment horizontal="center" vertical="top" wrapText="1"/>
    </xf>
    <xf numFmtId="170" fontId="20" fillId="67" borderId="10" xfId="84" applyNumberFormat="1" applyFont="1" applyFill="1" applyBorder="1" applyAlignment="1">
      <alignment horizontal="center" vertical="center" wrapText="1"/>
    </xf>
    <xf numFmtId="170" fontId="20" fillId="67" borderId="10" xfId="106" applyNumberFormat="1" applyFont="1" applyFill="1" applyBorder="1" applyAlignment="1">
      <alignment horizontal="center" vertical="center" wrapText="1"/>
    </xf>
    <xf numFmtId="170" fontId="20" fillId="67" borderId="10" xfId="106" applyNumberFormat="1" applyFont="1" applyFill="1" applyBorder="1" applyAlignment="1">
      <alignment horizontal="center" vertical="center"/>
    </xf>
    <xf numFmtId="10" fontId="19" fillId="0" borderId="10" xfId="150" applyNumberFormat="1" applyFont="1" applyFill="1" applyBorder="1" applyAlignment="1">
      <alignment horizontal="center" vertical="center" wrapText="1"/>
    </xf>
    <xf numFmtId="170" fontId="48" fillId="54" borderId="37" xfId="252" applyNumberFormat="1" applyFont="1" applyFill="1" applyBorder="1" applyAlignment="1">
      <alignment vertical="center" wrapText="1"/>
    </xf>
    <xf numFmtId="0" fontId="20" fillId="54" borderId="32" xfId="0" applyFont="1" applyFill="1" applyBorder="1" applyAlignment="1">
      <alignment horizontal="right" vertical="center" wrapText="1"/>
    </xf>
    <xf numFmtId="0" fontId="20" fillId="54" borderId="12" xfId="0" applyFont="1" applyFill="1" applyBorder="1" applyAlignment="1">
      <alignment horizontal="right" vertical="center" wrapText="1"/>
    </xf>
    <xf numFmtId="0" fontId="20" fillId="54" borderId="11" xfId="0" applyFont="1" applyFill="1" applyBorder="1" applyAlignment="1">
      <alignment horizontal="right" vertical="center" wrapText="1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0" xfId="0" applyAlignment="1">
      <alignment horizontal="center"/>
    </xf>
    <xf numFmtId="0" fontId="50" fillId="0" borderId="26" xfId="0" applyFont="1" applyBorder="1" applyAlignment="1">
      <alignment horizontal="center" vertical="center"/>
    </xf>
    <xf numFmtId="0" fontId="50" fillId="0" borderId="30" xfId="0" applyFont="1" applyBorder="1" applyAlignment="1">
      <alignment horizontal="center" vertical="center"/>
    </xf>
    <xf numFmtId="0" fontId="50" fillId="0" borderId="10" xfId="0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/>
    </xf>
    <xf numFmtId="0" fontId="47" fillId="0" borderId="29" xfId="0" applyFont="1" applyBorder="1" applyAlignment="1">
      <alignment horizontal="left" vertical="center" wrapText="1"/>
    </xf>
    <xf numFmtId="0" fontId="46" fillId="55" borderId="23" xfId="0" applyFont="1" applyFill="1" applyBorder="1" applyAlignment="1">
      <alignment horizontal="center" vertical="center"/>
    </xf>
    <xf numFmtId="0" fontId="46" fillId="55" borderId="10" xfId="0" applyFont="1" applyFill="1" applyBorder="1" applyAlignment="1">
      <alignment horizontal="center" vertical="center"/>
    </xf>
    <xf numFmtId="0" fontId="46" fillId="55" borderId="29" xfId="0" applyFont="1" applyFill="1" applyBorder="1" applyAlignment="1">
      <alignment horizontal="center" vertical="center"/>
    </xf>
    <xf numFmtId="0" fontId="48" fillId="54" borderId="32" xfId="0" applyFont="1" applyFill="1" applyBorder="1" applyAlignment="1">
      <alignment horizontal="right" vertical="center"/>
    </xf>
    <xf numFmtId="0" fontId="48" fillId="54" borderId="12" xfId="0" applyFont="1" applyFill="1" applyBorder="1" applyAlignment="1">
      <alignment horizontal="right" vertical="center"/>
    </xf>
    <xf numFmtId="0" fontId="48" fillId="54" borderId="11" xfId="0" applyFont="1" applyFill="1" applyBorder="1" applyAlignment="1">
      <alignment horizontal="right" vertical="center"/>
    </xf>
    <xf numFmtId="0" fontId="52" fillId="54" borderId="32" xfId="0" applyFont="1" applyFill="1" applyBorder="1" applyAlignment="1">
      <alignment horizontal="right" wrapText="1"/>
    </xf>
    <xf numFmtId="0" fontId="52" fillId="54" borderId="12" xfId="0" applyFont="1" applyFill="1" applyBorder="1" applyAlignment="1">
      <alignment horizontal="right" wrapText="1"/>
    </xf>
    <xf numFmtId="0" fontId="52" fillId="54" borderId="11" xfId="0" applyFont="1" applyFill="1" applyBorder="1" applyAlignment="1">
      <alignment horizontal="right" wrapText="1"/>
    </xf>
    <xf numFmtId="0" fontId="52" fillId="54" borderId="35" xfId="0" applyFont="1" applyFill="1" applyBorder="1" applyAlignment="1">
      <alignment horizontal="right" wrapText="1"/>
    </xf>
    <xf numFmtId="0" fontId="58" fillId="0" borderId="0" xfId="0" applyFont="1" applyAlignment="1">
      <alignment horizontal="center" vertical="top"/>
    </xf>
    <xf numFmtId="0" fontId="52" fillId="54" borderId="54" xfId="0" applyFont="1" applyFill="1" applyBorder="1" applyAlignment="1">
      <alignment horizontal="center" vertical="center" wrapText="1"/>
    </xf>
    <xf numFmtId="0" fontId="52" fillId="54" borderId="48" xfId="0" applyFont="1" applyFill="1" applyBorder="1" applyAlignment="1">
      <alignment horizontal="center" vertical="center" wrapText="1"/>
    </xf>
    <xf numFmtId="0" fontId="52" fillId="54" borderId="55" xfId="0" applyFont="1" applyFill="1" applyBorder="1" applyAlignment="1">
      <alignment horizontal="center" vertical="center" wrapText="1"/>
    </xf>
    <xf numFmtId="0" fontId="52" fillId="54" borderId="51" xfId="0" applyFont="1" applyFill="1" applyBorder="1" applyAlignment="1">
      <alignment horizontal="center" vertical="center" wrapText="1"/>
    </xf>
    <xf numFmtId="0" fontId="52" fillId="54" borderId="49" xfId="0" applyFont="1" applyFill="1" applyBorder="1" applyAlignment="1">
      <alignment horizontal="center" vertical="center" wrapText="1"/>
    </xf>
    <xf numFmtId="0" fontId="52" fillId="54" borderId="52" xfId="0" applyFont="1" applyFill="1" applyBorder="1" applyAlignment="1">
      <alignment horizontal="center" vertical="center" wrapText="1"/>
    </xf>
    <xf numFmtId="170" fontId="52" fillId="54" borderId="50" xfId="0" applyNumberFormat="1" applyFont="1" applyFill="1" applyBorder="1" applyAlignment="1">
      <alignment horizontal="right" vertical="center" wrapText="1"/>
    </xf>
    <xf numFmtId="170" fontId="52" fillId="54" borderId="53" xfId="0" applyNumberFormat="1" applyFont="1" applyFill="1" applyBorder="1" applyAlignment="1">
      <alignment horizontal="right" vertical="center" wrapText="1"/>
    </xf>
    <xf numFmtId="0" fontId="47" fillId="0" borderId="40" xfId="0" applyFont="1" applyBorder="1" applyAlignment="1">
      <alignment horizontal="center"/>
    </xf>
    <xf numFmtId="0" fontId="59" fillId="62" borderId="27" xfId="106" applyFont="1" applyFill="1" applyBorder="1" applyAlignment="1">
      <alignment horizontal="center" vertical="center"/>
    </xf>
    <xf numFmtId="0" fontId="59" fillId="62" borderId="28" xfId="106" applyFont="1" applyFill="1" applyBorder="1" applyAlignment="1">
      <alignment horizontal="center" vertical="center"/>
    </xf>
    <xf numFmtId="0" fontId="59" fillId="62" borderId="41" xfId="106" applyFont="1" applyFill="1" applyBorder="1" applyAlignment="1">
      <alignment horizontal="center" vertical="center"/>
    </xf>
    <xf numFmtId="0" fontId="18" fillId="65" borderId="33" xfId="106" applyFill="1" applyBorder="1" applyAlignment="1">
      <alignment horizontal="center" vertical="center"/>
    </xf>
    <xf numFmtId="0" fontId="18" fillId="65" borderId="31" xfId="106" applyFill="1" applyBorder="1" applyAlignment="1">
      <alignment horizontal="center" vertical="center"/>
    </xf>
    <xf numFmtId="0" fontId="18" fillId="65" borderId="34" xfId="106" applyFill="1" applyBorder="1" applyAlignment="1">
      <alignment horizontal="center" vertical="center"/>
    </xf>
    <xf numFmtId="0" fontId="18" fillId="65" borderId="56" xfId="106" applyFill="1" applyBorder="1" applyAlignment="1">
      <alignment horizontal="center" vertical="center"/>
    </xf>
    <xf numFmtId="0" fontId="18" fillId="62" borderId="23" xfId="106" applyFill="1" applyBorder="1" applyAlignment="1">
      <alignment horizontal="left" vertical="center"/>
    </xf>
    <xf numFmtId="0" fontId="18" fillId="62" borderId="10" xfId="106" applyFill="1" applyBorder="1" applyAlignment="1">
      <alignment horizontal="left" vertical="center"/>
    </xf>
    <xf numFmtId="0" fontId="19" fillId="0" borderId="23" xfId="106" applyFont="1" applyBorder="1" applyAlignment="1">
      <alignment horizontal="left" vertical="center" wrapText="1"/>
    </xf>
    <xf numFmtId="0" fontId="19" fillId="0" borderId="10" xfId="106" applyFont="1" applyBorder="1" applyAlignment="1">
      <alignment horizontal="left" vertical="center" wrapText="1"/>
    </xf>
    <xf numFmtId="0" fontId="18" fillId="63" borderId="33" xfId="106" applyFill="1" applyBorder="1" applyAlignment="1">
      <alignment horizontal="center" vertical="center"/>
    </xf>
    <xf numFmtId="0" fontId="18" fillId="63" borderId="31" xfId="106" applyFill="1" applyBorder="1" applyAlignment="1">
      <alignment horizontal="center" vertical="center"/>
    </xf>
    <xf numFmtId="0" fontId="18" fillId="63" borderId="34" xfId="106" applyFill="1" applyBorder="1" applyAlignment="1">
      <alignment horizontal="center" vertical="center"/>
    </xf>
    <xf numFmtId="0" fontId="18" fillId="63" borderId="56" xfId="106" applyFill="1" applyBorder="1" applyAlignment="1">
      <alignment horizontal="center" vertical="center"/>
    </xf>
    <xf numFmtId="0" fontId="18" fillId="64" borderId="33" xfId="106" applyFill="1" applyBorder="1" applyAlignment="1">
      <alignment horizontal="center" vertical="center"/>
    </xf>
    <xf numFmtId="0" fontId="18" fillId="64" borderId="31" xfId="106" applyFill="1" applyBorder="1" applyAlignment="1">
      <alignment horizontal="center" vertical="center"/>
    </xf>
    <xf numFmtId="0" fontId="18" fillId="64" borderId="34" xfId="106" applyFill="1" applyBorder="1" applyAlignment="1">
      <alignment horizontal="center" vertical="center"/>
    </xf>
    <xf numFmtId="0" fontId="18" fillId="64" borderId="56" xfId="106" applyFill="1" applyBorder="1" applyAlignment="1">
      <alignment horizontal="center" vertical="center"/>
    </xf>
    <xf numFmtId="0" fontId="60" fillId="0" borderId="32" xfId="106" applyFont="1" applyBorder="1" applyAlignment="1">
      <alignment horizontal="center" vertical="center"/>
    </xf>
    <xf numFmtId="0" fontId="60" fillId="0" borderId="12" xfId="106" applyFont="1" applyBorder="1" applyAlignment="1">
      <alignment horizontal="center" vertical="center"/>
    </xf>
    <xf numFmtId="0" fontId="60" fillId="0" borderId="37" xfId="106" applyFont="1" applyBorder="1" applyAlignment="1">
      <alignment horizontal="center" vertical="center"/>
    </xf>
    <xf numFmtId="0" fontId="19" fillId="0" borderId="35" xfId="106" applyFont="1" applyBorder="1" applyAlignment="1">
      <alignment horizontal="center" vertical="center"/>
    </xf>
    <xf numFmtId="0" fontId="19" fillId="0" borderId="12" xfId="106" applyFont="1" applyBorder="1" applyAlignment="1">
      <alignment horizontal="center" vertical="center"/>
    </xf>
    <xf numFmtId="0" fontId="19" fillId="0" borderId="37" xfId="106" applyFont="1" applyBorder="1" applyAlignment="1">
      <alignment horizontal="center" vertical="center"/>
    </xf>
    <xf numFmtId="0" fontId="20" fillId="62" borderId="59" xfId="106" applyFont="1" applyFill="1" applyBorder="1" applyAlignment="1">
      <alignment horizontal="center" vertical="center"/>
    </xf>
    <xf numFmtId="0" fontId="20" fillId="62" borderId="58" xfId="106" applyFont="1" applyFill="1" applyBorder="1" applyAlignment="1">
      <alignment horizontal="center" vertical="center"/>
    </xf>
    <xf numFmtId="0" fontId="20" fillId="62" borderId="60" xfId="106" applyFont="1" applyFill="1" applyBorder="1" applyAlignment="1">
      <alignment horizontal="center" vertical="center"/>
    </xf>
    <xf numFmtId="0" fontId="18" fillId="62" borderId="35" xfId="106" applyFill="1" applyBorder="1" applyAlignment="1">
      <alignment horizontal="center" vertical="center"/>
    </xf>
    <xf numFmtId="0" fontId="18" fillId="62" borderId="12" xfId="106" applyFill="1" applyBorder="1" applyAlignment="1">
      <alignment horizontal="center" vertical="center"/>
    </xf>
    <xf numFmtId="0" fontId="18" fillId="62" borderId="37" xfId="106" applyFill="1" applyBorder="1" applyAlignment="1">
      <alignment horizontal="center" vertical="center"/>
    </xf>
    <xf numFmtId="0" fontId="16" fillId="62" borderId="0" xfId="106" applyFont="1" applyFill="1" applyAlignment="1">
      <alignment horizontal="center" wrapText="1"/>
    </xf>
    <xf numFmtId="0" fontId="20" fillId="62" borderId="23" xfId="106" applyFont="1" applyFill="1" applyBorder="1" applyAlignment="1">
      <alignment horizontal="center" vertical="center" wrapText="1"/>
    </xf>
    <xf numFmtId="0" fontId="20" fillId="62" borderId="10" xfId="106" applyFont="1" applyFill="1" applyBorder="1" applyAlignment="1">
      <alignment horizontal="center" vertical="center" wrapText="1"/>
    </xf>
    <xf numFmtId="0" fontId="18" fillId="66" borderId="33" xfId="106" applyFill="1" applyBorder="1" applyAlignment="1">
      <alignment horizontal="center" vertical="center"/>
    </xf>
    <xf numFmtId="0" fontId="18" fillId="66" borderId="31" xfId="106" applyFill="1" applyBorder="1" applyAlignment="1">
      <alignment horizontal="center" vertical="center"/>
    </xf>
    <xf numFmtId="0" fontId="18" fillId="66" borderId="34" xfId="106" applyFill="1" applyBorder="1" applyAlignment="1">
      <alignment horizontal="center" vertical="center"/>
    </xf>
    <xf numFmtId="0" fontId="18" fillId="66" borderId="56" xfId="106" applyFill="1" applyBorder="1" applyAlignment="1">
      <alignment horizontal="center" vertical="center"/>
    </xf>
    <xf numFmtId="0" fontId="18" fillId="67" borderId="33" xfId="106" applyFill="1" applyBorder="1" applyAlignment="1">
      <alignment horizontal="center" vertical="center"/>
    </xf>
    <xf numFmtId="0" fontId="18" fillId="67" borderId="31" xfId="106" applyFill="1" applyBorder="1" applyAlignment="1">
      <alignment horizontal="center" vertical="center"/>
    </xf>
    <xf numFmtId="0" fontId="18" fillId="67" borderId="34" xfId="106" applyFill="1" applyBorder="1" applyAlignment="1">
      <alignment horizontal="center" vertical="center"/>
    </xf>
    <xf numFmtId="0" fontId="18" fillId="67" borderId="56" xfId="106" applyFill="1" applyBorder="1" applyAlignment="1">
      <alignment horizontal="center" vertical="center"/>
    </xf>
    <xf numFmtId="0" fontId="13" fillId="61" borderId="42" xfId="0" applyFont="1" applyFill="1" applyBorder="1" applyAlignment="1" applyProtection="1">
      <alignment horizontal="center" vertical="center" wrapText="1"/>
      <protection locked="0"/>
    </xf>
    <xf numFmtId="0" fontId="13" fillId="61" borderId="43" xfId="0" applyFont="1" applyFill="1" applyBorder="1" applyAlignment="1" applyProtection="1">
      <alignment horizontal="center" vertical="center" wrapText="1"/>
      <protection locked="0"/>
    </xf>
    <xf numFmtId="0" fontId="13" fillId="61" borderId="44" xfId="0" applyFont="1" applyFill="1" applyBorder="1" applyAlignment="1" applyProtection="1">
      <alignment horizontal="center" vertical="center" wrapText="1"/>
      <protection locked="0"/>
    </xf>
    <xf numFmtId="0" fontId="57" fillId="57" borderId="0" xfId="0" applyFont="1" applyFill="1" applyAlignment="1">
      <alignment horizontal="center" vertical="center"/>
    </xf>
    <xf numFmtId="0" fontId="13" fillId="57" borderId="0" xfId="0" applyFont="1" applyFill="1" applyAlignment="1">
      <alignment horizontal="center" vertical="center"/>
    </xf>
    <xf numFmtId="167" fontId="0" fillId="57" borderId="0" xfId="0" applyNumberFormat="1" applyFill="1" applyAlignment="1">
      <alignment horizontal="center" vertical="center"/>
    </xf>
    <xf numFmtId="10" fontId="13" fillId="57" borderId="0" xfId="251" applyNumberFormat="1" applyFont="1" applyFill="1" applyAlignment="1" applyProtection="1">
      <alignment horizontal="center" vertical="center"/>
    </xf>
    <xf numFmtId="0" fontId="13" fillId="57" borderId="40" xfId="0" applyFont="1" applyFill="1" applyBorder="1" applyAlignment="1">
      <alignment horizontal="center" vertical="top"/>
    </xf>
    <xf numFmtId="0" fontId="20" fillId="60" borderId="0" xfId="0" applyFont="1" applyFill="1" applyAlignment="1" applyProtection="1">
      <alignment horizontal="center" vertical="center"/>
      <protection locked="0"/>
    </xf>
    <xf numFmtId="14" fontId="18" fillId="59" borderId="0" xfId="0" applyNumberFormat="1" applyFont="1" applyFill="1" applyAlignment="1">
      <alignment horizontal="center" vertical="center"/>
    </xf>
    <xf numFmtId="14" fontId="18" fillId="59" borderId="25" xfId="0" applyNumberFormat="1" applyFont="1" applyFill="1" applyBorder="1" applyAlignment="1">
      <alignment horizontal="center" vertical="center"/>
    </xf>
    <xf numFmtId="4" fontId="54" fillId="57" borderId="27" xfId="0" applyNumberFormat="1" applyFont="1" applyFill="1" applyBorder="1" applyAlignment="1">
      <alignment horizontal="center" vertical="center" wrapText="1"/>
    </xf>
    <xf numFmtId="4" fontId="54" fillId="57" borderId="28" xfId="0" applyNumberFormat="1" applyFont="1" applyFill="1" applyBorder="1" applyAlignment="1">
      <alignment horizontal="center" vertical="center" wrapText="1"/>
    </xf>
    <xf numFmtId="4" fontId="54" fillId="57" borderId="41" xfId="0" applyNumberFormat="1" applyFont="1" applyFill="1" applyBorder="1" applyAlignment="1">
      <alignment horizontal="center" vertical="center" wrapText="1"/>
    </xf>
    <xf numFmtId="0" fontId="20" fillId="59" borderId="0" xfId="0" applyFont="1" applyFill="1" applyAlignment="1">
      <alignment horizontal="center" vertical="center"/>
    </xf>
    <xf numFmtId="169" fontId="18" fillId="59" borderId="0" xfId="0" applyNumberFormat="1" applyFont="1" applyFill="1" applyAlignment="1">
      <alignment horizontal="center" vertical="center"/>
    </xf>
    <xf numFmtId="169" fontId="18" fillId="59" borderId="25" xfId="0" applyNumberFormat="1" applyFont="1" applyFill="1" applyBorder="1" applyAlignment="1">
      <alignment horizontal="center" vertical="center"/>
    </xf>
    <xf numFmtId="0" fontId="18" fillId="59" borderId="0" xfId="0" applyFont="1" applyFill="1" applyAlignment="1">
      <alignment horizontal="center" vertical="center"/>
    </xf>
    <xf numFmtId="17" fontId="18" fillId="59" borderId="0" xfId="0" applyNumberFormat="1" applyFont="1" applyFill="1" applyAlignment="1">
      <alignment horizontal="center" vertical="center"/>
    </xf>
    <xf numFmtId="0" fontId="18" fillId="59" borderId="25" xfId="0" applyFont="1" applyFill="1" applyBorder="1" applyAlignment="1">
      <alignment horizontal="center" vertical="center"/>
    </xf>
    <xf numFmtId="168" fontId="48" fillId="54" borderId="35" xfId="0" applyNumberFormat="1" applyFont="1" applyFill="1" applyBorder="1" applyAlignment="1">
      <alignment horizontal="center" vertical="center"/>
    </xf>
    <xf numFmtId="168" fontId="48" fillId="54" borderId="37" xfId="0" applyNumberFormat="1" applyFont="1" applyFill="1" applyBorder="1" applyAlignment="1">
      <alignment horizontal="center" vertical="center"/>
    </xf>
    <xf numFmtId="168" fontId="52" fillId="54" borderId="50" xfId="0" applyNumberFormat="1" applyFont="1" applyFill="1" applyBorder="1" applyAlignment="1">
      <alignment horizontal="center" vertical="center" wrapText="1"/>
    </xf>
    <xf numFmtId="0" fontId="52" fillId="54" borderId="53" xfId="0" applyFont="1" applyFill="1" applyBorder="1" applyAlignment="1">
      <alignment horizontal="center" vertical="center" wrapText="1"/>
    </xf>
    <xf numFmtId="168" fontId="48" fillId="54" borderId="35" xfId="252" applyNumberFormat="1" applyFont="1" applyFill="1" applyBorder="1" applyAlignment="1">
      <alignment horizontal="center" vertical="center" wrapText="1"/>
    </xf>
    <xf numFmtId="168" fontId="48" fillId="54" borderId="37" xfId="252" applyNumberFormat="1" applyFont="1" applyFill="1" applyBorder="1" applyAlignment="1">
      <alignment horizontal="center" vertical="center" wrapText="1"/>
    </xf>
  </cellXfs>
  <cellStyles count="270">
    <cellStyle name="20% - Accent1" xfId="31" xr:uid="{00000000-0005-0000-0000-000000000000}"/>
    <cellStyle name="20% - Accent2" xfId="32" xr:uid="{00000000-0005-0000-0000-000001000000}"/>
    <cellStyle name="20% - Accent3" xfId="33" xr:uid="{00000000-0005-0000-0000-000002000000}"/>
    <cellStyle name="20% - Accent4" xfId="34" xr:uid="{00000000-0005-0000-0000-000003000000}"/>
    <cellStyle name="20% - Accent5" xfId="35" xr:uid="{00000000-0005-0000-0000-000004000000}"/>
    <cellStyle name="20% - Accent6" xfId="36" xr:uid="{00000000-0005-0000-0000-000005000000}"/>
    <cellStyle name="20% - Ênfase1" xfId="254" builtinId="30" customBuiltin="1"/>
    <cellStyle name="20% - Ênfase1 2" xfId="37" xr:uid="{00000000-0005-0000-0000-000006000000}"/>
    <cellStyle name="20% - Ênfase1 2 2" xfId="173" xr:uid="{00000000-0005-0000-0000-000007000000}"/>
    <cellStyle name="20% - Ênfase1 2 3" xfId="213" xr:uid="{00000000-0005-0000-0000-000008000000}"/>
    <cellStyle name="20% - Ênfase2" xfId="255" builtinId="34" customBuiltin="1"/>
    <cellStyle name="20% - Ênfase2 2" xfId="38" xr:uid="{00000000-0005-0000-0000-000009000000}"/>
    <cellStyle name="20% - Ênfase2 2 2" xfId="174" xr:uid="{00000000-0005-0000-0000-00000A000000}"/>
    <cellStyle name="20% - Ênfase2 2 3" xfId="214" xr:uid="{00000000-0005-0000-0000-00000B000000}"/>
    <cellStyle name="20% - Ênfase3" xfId="256" builtinId="38" customBuiltin="1"/>
    <cellStyle name="20% - Ênfase3 2" xfId="39" xr:uid="{00000000-0005-0000-0000-00000C000000}"/>
    <cellStyle name="20% - Ênfase3 2 2" xfId="175" xr:uid="{00000000-0005-0000-0000-00000D000000}"/>
    <cellStyle name="20% - Ênfase3 2 3" xfId="215" xr:uid="{00000000-0005-0000-0000-00000E000000}"/>
    <cellStyle name="20% - Ênfase4" xfId="258" builtinId="42" customBuiltin="1"/>
    <cellStyle name="20% - Ênfase4 2" xfId="40" xr:uid="{00000000-0005-0000-0000-00000F000000}"/>
    <cellStyle name="20% - Ênfase4 2 2" xfId="176" xr:uid="{00000000-0005-0000-0000-000010000000}"/>
    <cellStyle name="20% - Ênfase4 2 3" xfId="216" xr:uid="{00000000-0005-0000-0000-000011000000}"/>
    <cellStyle name="20% - Ênfase5" xfId="24" builtinId="46" customBuiltin="1"/>
    <cellStyle name="20% - Ênfase5 2" xfId="177" xr:uid="{00000000-0005-0000-0000-000013000000}"/>
    <cellStyle name="20% - Ênfase5 3" xfId="217" xr:uid="{00000000-0005-0000-0000-000014000000}"/>
    <cellStyle name="20% - Ênfase6" xfId="28" builtinId="50" customBuiltin="1"/>
    <cellStyle name="20% - Ênfase6 2" xfId="178" xr:uid="{00000000-0005-0000-0000-000016000000}"/>
    <cellStyle name="20% - Ênfase6 3" xfId="218" xr:uid="{00000000-0005-0000-0000-000017000000}"/>
    <cellStyle name="40% - Accent1" xfId="41" xr:uid="{00000000-0005-0000-0000-000018000000}"/>
    <cellStyle name="40% - Accent2" xfId="42" xr:uid="{00000000-0005-0000-0000-000019000000}"/>
    <cellStyle name="40% - Accent3" xfId="43" xr:uid="{00000000-0005-0000-0000-00001A000000}"/>
    <cellStyle name="40% - Accent4" xfId="44" xr:uid="{00000000-0005-0000-0000-00001B000000}"/>
    <cellStyle name="40% - Accent5" xfId="45" xr:uid="{00000000-0005-0000-0000-00001C000000}"/>
    <cellStyle name="40% - Accent6" xfId="46" xr:uid="{00000000-0005-0000-0000-00001D000000}"/>
    <cellStyle name="40% - Ênfase1" xfId="15" builtinId="31" customBuiltin="1"/>
    <cellStyle name="40% - Ênfase1 2" xfId="179" xr:uid="{00000000-0005-0000-0000-00001F000000}"/>
    <cellStyle name="40% - Ênfase1 3" xfId="219" xr:uid="{00000000-0005-0000-0000-000020000000}"/>
    <cellStyle name="40% - Ênfase2" xfId="18" builtinId="35" customBuiltin="1"/>
    <cellStyle name="40% - Ênfase2 2" xfId="180" xr:uid="{00000000-0005-0000-0000-000022000000}"/>
    <cellStyle name="40% - Ênfase2 3" xfId="220" xr:uid="{00000000-0005-0000-0000-000023000000}"/>
    <cellStyle name="40% - Ênfase3" xfId="257" builtinId="39" customBuiltin="1"/>
    <cellStyle name="40% - Ênfase3 2" xfId="47" xr:uid="{00000000-0005-0000-0000-000024000000}"/>
    <cellStyle name="40% - Ênfase3 2 2" xfId="181" xr:uid="{00000000-0005-0000-0000-000025000000}"/>
    <cellStyle name="40% - Ênfase3 2 3" xfId="221" xr:uid="{00000000-0005-0000-0000-000026000000}"/>
    <cellStyle name="40% - Ênfase4" xfId="22" builtinId="43" customBuiltin="1"/>
    <cellStyle name="40% - Ênfase4 2" xfId="182" xr:uid="{00000000-0005-0000-0000-000028000000}"/>
    <cellStyle name="40% - Ênfase4 3" xfId="222" xr:uid="{00000000-0005-0000-0000-000029000000}"/>
    <cellStyle name="40% - Ênfase5" xfId="25" builtinId="47" customBuiltin="1"/>
    <cellStyle name="40% - Ênfase5 2" xfId="183" xr:uid="{00000000-0005-0000-0000-00002B000000}"/>
    <cellStyle name="40% - Ênfase5 3" xfId="223" xr:uid="{00000000-0005-0000-0000-00002C000000}"/>
    <cellStyle name="40% - Ênfase6" xfId="29" builtinId="51" customBuiltin="1"/>
    <cellStyle name="40% - Ênfase6 2" xfId="184" xr:uid="{00000000-0005-0000-0000-00002E000000}"/>
    <cellStyle name="40% - Ênfase6 3" xfId="224" xr:uid="{00000000-0005-0000-0000-00002F000000}"/>
    <cellStyle name="60% - Accent1" xfId="48" xr:uid="{00000000-0005-0000-0000-000030000000}"/>
    <cellStyle name="60% - Accent2" xfId="49" xr:uid="{00000000-0005-0000-0000-000031000000}"/>
    <cellStyle name="60% - Accent3" xfId="50" xr:uid="{00000000-0005-0000-0000-000032000000}"/>
    <cellStyle name="60% - Accent4" xfId="51" xr:uid="{00000000-0005-0000-0000-000033000000}"/>
    <cellStyle name="60% - Accent5" xfId="52" xr:uid="{00000000-0005-0000-0000-000034000000}"/>
    <cellStyle name="60% - Accent6" xfId="53" xr:uid="{00000000-0005-0000-0000-000035000000}"/>
    <cellStyle name="60% - Ênfase1" xfId="16" builtinId="32" customBuiltin="1"/>
    <cellStyle name="60% - Ênfase2" xfId="19" builtinId="36" customBuiltin="1"/>
    <cellStyle name="60% - Ênfase3 2" xfId="54" xr:uid="{00000000-0005-0000-0000-000038000000}"/>
    <cellStyle name="60% - Ênfase4 2" xfId="55" xr:uid="{00000000-0005-0000-0000-000039000000}"/>
    <cellStyle name="60% - Ênfase5" xfId="26" builtinId="48" customBuiltin="1"/>
    <cellStyle name="60% - Ênfase6 2" xfId="56" xr:uid="{00000000-0005-0000-0000-00003B000000}"/>
    <cellStyle name="Accent1" xfId="57" xr:uid="{00000000-0005-0000-0000-00003C000000}"/>
    <cellStyle name="Accent2" xfId="58" xr:uid="{00000000-0005-0000-0000-00003D000000}"/>
    <cellStyle name="Accent3" xfId="59" xr:uid="{00000000-0005-0000-0000-00003E000000}"/>
    <cellStyle name="Accent4" xfId="60" xr:uid="{00000000-0005-0000-0000-00003F000000}"/>
    <cellStyle name="Accent5" xfId="61" xr:uid="{00000000-0005-0000-0000-000040000000}"/>
    <cellStyle name="Accent6" xfId="62" xr:uid="{00000000-0005-0000-0000-000041000000}"/>
    <cellStyle name="Bad" xfId="63" xr:uid="{00000000-0005-0000-0000-000042000000}"/>
    <cellStyle name="Bom" xfId="5" builtinId="26" customBuiltin="1"/>
    <cellStyle name="Calculation" xfId="64" xr:uid="{00000000-0005-0000-0000-000044000000}"/>
    <cellStyle name="Cálculo" xfId="8" builtinId="22" customBuiltin="1"/>
    <cellStyle name="Célula de Verificação" xfId="10" builtinId="23" customBuiltin="1"/>
    <cellStyle name="Célula Vinculada" xfId="9" builtinId="24" customBuiltin="1"/>
    <cellStyle name="Check Cell" xfId="65" xr:uid="{00000000-0005-0000-0000-000048000000}"/>
    <cellStyle name="Comma 2" xfId="66" xr:uid="{00000000-0005-0000-0000-000049000000}"/>
    <cellStyle name="Comma 2 2" xfId="185" xr:uid="{00000000-0005-0000-0000-00004A000000}"/>
    <cellStyle name="Comma 2 3" xfId="225" xr:uid="{00000000-0005-0000-0000-00004B000000}"/>
    <cellStyle name="Comma 3" xfId="67" xr:uid="{00000000-0005-0000-0000-00004C000000}"/>
    <cellStyle name="Comma 3 2" xfId="186" xr:uid="{00000000-0005-0000-0000-00004D000000}"/>
    <cellStyle name="Comma 3 3" xfId="226" xr:uid="{00000000-0005-0000-0000-00004E000000}"/>
    <cellStyle name="Comma 4" xfId="68" xr:uid="{00000000-0005-0000-0000-00004F000000}"/>
    <cellStyle name="Comma 4 2" xfId="69" xr:uid="{00000000-0005-0000-0000-000050000000}"/>
    <cellStyle name="Comma 4 2 2" xfId="188" xr:uid="{00000000-0005-0000-0000-000051000000}"/>
    <cellStyle name="Comma 4 2 3" xfId="228" xr:uid="{00000000-0005-0000-0000-000052000000}"/>
    <cellStyle name="Comma 4 3" xfId="187" xr:uid="{00000000-0005-0000-0000-000053000000}"/>
    <cellStyle name="Comma 4 4" xfId="227" xr:uid="{00000000-0005-0000-0000-000054000000}"/>
    <cellStyle name="Comma 5" xfId="70" xr:uid="{00000000-0005-0000-0000-000055000000}"/>
    <cellStyle name="Comma 5 2" xfId="71" xr:uid="{00000000-0005-0000-0000-000056000000}"/>
    <cellStyle name="Comma 5 2 2" xfId="190" xr:uid="{00000000-0005-0000-0000-000057000000}"/>
    <cellStyle name="Comma 5 2 3" xfId="230" xr:uid="{00000000-0005-0000-0000-000058000000}"/>
    <cellStyle name="Comma 5 3" xfId="189" xr:uid="{00000000-0005-0000-0000-000059000000}"/>
    <cellStyle name="Comma 5 4" xfId="229" xr:uid="{00000000-0005-0000-0000-00005A000000}"/>
    <cellStyle name="Ênfase1" xfId="14" builtinId="29" customBuiltin="1"/>
    <cellStyle name="Ênfase2" xfId="17" builtinId="33" customBuiltin="1"/>
    <cellStyle name="Ênfase3" xfId="20" builtinId="37" customBuiltin="1"/>
    <cellStyle name="Ênfase4" xfId="21" builtinId="41" customBuiltin="1"/>
    <cellStyle name="Ênfase5" xfId="23" builtinId="45" customBuiltin="1"/>
    <cellStyle name="Ênfase6" xfId="27" builtinId="49" customBuiltin="1"/>
    <cellStyle name="Entrada" xfId="6" builtinId="20" customBuiltin="1"/>
    <cellStyle name="Estilo 1" xfId="259" xr:uid="{ABF8F52F-1886-4943-9D54-F0CD7890A89C}"/>
    <cellStyle name="Excel Built-in Normal" xfId="260" xr:uid="{D1B7EF8D-C337-4DD5-8FA8-1E400BE42D72}"/>
    <cellStyle name="Explanatory Text" xfId="72" xr:uid="{00000000-0005-0000-0000-000062000000}"/>
    <cellStyle name="Good" xfId="73" xr:uid="{00000000-0005-0000-0000-000063000000}"/>
    <cellStyle name="Heading 1" xfId="74" xr:uid="{00000000-0005-0000-0000-000064000000}"/>
    <cellStyle name="Heading 2" xfId="75" xr:uid="{00000000-0005-0000-0000-000065000000}"/>
    <cellStyle name="Heading 3" xfId="76" xr:uid="{00000000-0005-0000-0000-000066000000}"/>
    <cellStyle name="Heading 4" xfId="77" xr:uid="{00000000-0005-0000-0000-000067000000}"/>
    <cellStyle name="Hiperlink 2" xfId="78" xr:uid="{00000000-0005-0000-0000-000068000000}"/>
    <cellStyle name="Indefinido" xfId="79" xr:uid="{00000000-0005-0000-0000-000069000000}"/>
    <cellStyle name="Input" xfId="80" xr:uid="{00000000-0005-0000-0000-00006A000000}"/>
    <cellStyle name="Linked Cell" xfId="81" xr:uid="{00000000-0005-0000-0000-00006B000000}"/>
    <cellStyle name="material" xfId="82" xr:uid="{00000000-0005-0000-0000-00006C000000}"/>
    <cellStyle name="Moeda" xfId="252" builtinId="4"/>
    <cellStyle name="Moeda 2" xfId="84" xr:uid="{00000000-0005-0000-0000-00006D000000}"/>
    <cellStyle name="Moeda 2 2" xfId="85" xr:uid="{00000000-0005-0000-0000-00006E000000}"/>
    <cellStyle name="Moeda 2 3" xfId="191" xr:uid="{00000000-0005-0000-0000-00006F000000}"/>
    <cellStyle name="Moeda 2 4" xfId="231" xr:uid="{00000000-0005-0000-0000-000070000000}"/>
    <cellStyle name="Moeda 2 5" xfId="262" xr:uid="{9E1B07C5-FBBA-46B5-9B7D-B03F936E985D}"/>
    <cellStyle name="Moeda 3" xfId="86" xr:uid="{00000000-0005-0000-0000-000071000000}"/>
    <cellStyle name="Moeda 3 2" xfId="192" xr:uid="{00000000-0005-0000-0000-000072000000}"/>
    <cellStyle name="Moeda 3 3" xfId="232" xr:uid="{00000000-0005-0000-0000-000073000000}"/>
    <cellStyle name="Moeda 4" xfId="87" xr:uid="{00000000-0005-0000-0000-000074000000}"/>
    <cellStyle name="Moeda 4 2" xfId="193" xr:uid="{00000000-0005-0000-0000-000075000000}"/>
    <cellStyle name="Moeda 4 3" xfId="233" xr:uid="{00000000-0005-0000-0000-000076000000}"/>
    <cellStyle name="Moeda 5" xfId="83" xr:uid="{00000000-0005-0000-0000-000077000000}"/>
    <cellStyle name="Moeda 6" xfId="261" xr:uid="{4DBD690C-071D-440E-94F5-8EA80F43223D}"/>
    <cellStyle name="Neutral" xfId="88" xr:uid="{00000000-0005-0000-0000-000078000000}"/>
    <cellStyle name="NívelLinha_1_00 - PQ 7007-0000-F15-0000-002 REV B" xfId="89" xr:uid="{00000000-0005-0000-0000-000079000000}"/>
    <cellStyle name="Normal" xfId="0" builtinId="0"/>
    <cellStyle name="Normal 10" xfId="90" xr:uid="{00000000-0005-0000-0000-00007B000000}"/>
    <cellStyle name="Normal 11" xfId="91" xr:uid="{00000000-0005-0000-0000-00007C000000}"/>
    <cellStyle name="Normal 12" xfId="92" xr:uid="{00000000-0005-0000-0000-00007D000000}"/>
    <cellStyle name="Normal 12 2" xfId="93" xr:uid="{00000000-0005-0000-0000-00007E000000}"/>
    <cellStyle name="Normal 13" xfId="94" xr:uid="{00000000-0005-0000-0000-00007F000000}"/>
    <cellStyle name="Normal 14" xfId="95" xr:uid="{00000000-0005-0000-0000-000080000000}"/>
    <cellStyle name="Normal 14 2" xfId="194" xr:uid="{00000000-0005-0000-0000-000081000000}"/>
    <cellStyle name="Normal 14 3" xfId="234" xr:uid="{00000000-0005-0000-0000-000082000000}"/>
    <cellStyle name="Normal 15" xfId="30" xr:uid="{00000000-0005-0000-0000-000083000000}"/>
    <cellStyle name="Normal 16" xfId="96" xr:uid="{00000000-0005-0000-0000-000084000000}"/>
    <cellStyle name="Normal 18" xfId="97" xr:uid="{00000000-0005-0000-0000-000085000000}"/>
    <cellStyle name="Normal 2" xfId="98" xr:uid="{00000000-0005-0000-0000-000086000000}"/>
    <cellStyle name="Normal 2 2" xfId="99" xr:uid="{00000000-0005-0000-0000-000087000000}"/>
    <cellStyle name="Normal 2 2 2" xfId="100" xr:uid="{00000000-0005-0000-0000-000088000000}"/>
    <cellStyle name="Normal 2 3" xfId="101" xr:uid="{00000000-0005-0000-0000-000089000000}"/>
    <cellStyle name="Normal 2 3 2" xfId="102" xr:uid="{00000000-0005-0000-0000-00008A000000}"/>
    <cellStyle name="Normal 2_Plan1" xfId="103" xr:uid="{00000000-0005-0000-0000-00008B000000}"/>
    <cellStyle name="Normal 20" xfId="104" xr:uid="{00000000-0005-0000-0000-00008C000000}"/>
    <cellStyle name="Normal 20 2" xfId="105" xr:uid="{00000000-0005-0000-0000-00008D000000}"/>
    <cellStyle name="Normal 3" xfId="106" xr:uid="{00000000-0005-0000-0000-00008E000000}"/>
    <cellStyle name="Normal 3 10" xfId="107" xr:uid="{00000000-0005-0000-0000-00008F000000}"/>
    <cellStyle name="Normal 3 11" xfId="108" xr:uid="{00000000-0005-0000-0000-000090000000}"/>
    <cellStyle name="Normal 3 2" xfId="109" xr:uid="{00000000-0005-0000-0000-000091000000}"/>
    <cellStyle name="Normal 3 2 2" xfId="110" xr:uid="{00000000-0005-0000-0000-000092000000}"/>
    <cellStyle name="Normal 3 6" xfId="111" xr:uid="{00000000-0005-0000-0000-000093000000}"/>
    <cellStyle name="Normal 4" xfId="112" xr:uid="{00000000-0005-0000-0000-000094000000}"/>
    <cellStyle name="Normal 4 2" xfId="113" xr:uid="{00000000-0005-0000-0000-000095000000}"/>
    <cellStyle name="Normal 4 2 2" xfId="195" xr:uid="{00000000-0005-0000-0000-000096000000}"/>
    <cellStyle name="Normal 4 2 3" xfId="235" xr:uid="{00000000-0005-0000-0000-000097000000}"/>
    <cellStyle name="Normal 4 29" xfId="114" xr:uid="{00000000-0005-0000-0000-000098000000}"/>
    <cellStyle name="Normal 5" xfId="115" xr:uid="{00000000-0005-0000-0000-000099000000}"/>
    <cellStyle name="Normal 5 10" xfId="116" xr:uid="{00000000-0005-0000-0000-00009A000000}"/>
    <cellStyle name="Normal 5 11" xfId="117" xr:uid="{00000000-0005-0000-0000-00009B000000}"/>
    <cellStyle name="Normal 5 13" xfId="118" xr:uid="{00000000-0005-0000-0000-00009C000000}"/>
    <cellStyle name="Normal 5 16" xfId="119" xr:uid="{00000000-0005-0000-0000-00009D000000}"/>
    <cellStyle name="Normal 5 18" xfId="120" xr:uid="{00000000-0005-0000-0000-00009E000000}"/>
    <cellStyle name="Normal 5 19" xfId="121" xr:uid="{00000000-0005-0000-0000-00009F000000}"/>
    <cellStyle name="Normal 5 2" xfId="122" xr:uid="{00000000-0005-0000-0000-0000A0000000}"/>
    <cellStyle name="Normal 5 2 2" xfId="123" xr:uid="{00000000-0005-0000-0000-0000A1000000}"/>
    <cellStyle name="Normal 5 20" xfId="124" xr:uid="{00000000-0005-0000-0000-0000A2000000}"/>
    <cellStyle name="Normal 5 3" xfId="125" xr:uid="{00000000-0005-0000-0000-0000A3000000}"/>
    <cellStyle name="Normal 5 3 2" xfId="126" xr:uid="{00000000-0005-0000-0000-0000A4000000}"/>
    <cellStyle name="Normal 5 3 3" xfId="127" xr:uid="{00000000-0005-0000-0000-0000A5000000}"/>
    <cellStyle name="Normal 5 4" xfId="128" xr:uid="{00000000-0005-0000-0000-0000A6000000}"/>
    <cellStyle name="Normal 5 5" xfId="129" xr:uid="{00000000-0005-0000-0000-0000A7000000}"/>
    <cellStyle name="Normal 5 6" xfId="130" xr:uid="{00000000-0005-0000-0000-0000A8000000}"/>
    <cellStyle name="Normal 5 7" xfId="131" xr:uid="{00000000-0005-0000-0000-0000A9000000}"/>
    <cellStyle name="Normal 5 8" xfId="132" xr:uid="{00000000-0005-0000-0000-0000AA000000}"/>
    <cellStyle name="Normal 5 9" xfId="133" xr:uid="{00000000-0005-0000-0000-0000AB000000}"/>
    <cellStyle name="Normal 5_Plan1" xfId="134" xr:uid="{00000000-0005-0000-0000-0000AC000000}"/>
    <cellStyle name="Normal 6" xfId="135" xr:uid="{00000000-0005-0000-0000-0000AD000000}"/>
    <cellStyle name="Normal 6 13" xfId="136" xr:uid="{00000000-0005-0000-0000-0000AE000000}"/>
    <cellStyle name="Normal 6 2" xfId="137" xr:uid="{00000000-0005-0000-0000-0000AF000000}"/>
    <cellStyle name="Normal 7" xfId="138" xr:uid="{00000000-0005-0000-0000-0000B0000000}"/>
    <cellStyle name="Normal 7 2" xfId="139" xr:uid="{00000000-0005-0000-0000-0000B1000000}"/>
    <cellStyle name="Normal 8" xfId="140" xr:uid="{00000000-0005-0000-0000-0000B2000000}"/>
    <cellStyle name="Normal 8 2" xfId="141" xr:uid="{00000000-0005-0000-0000-0000B3000000}"/>
    <cellStyle name="Normal 9" xfId="142" xr:uid="{00000000-0005-0000-0000-0000B4000000}"/>
    <cellStyle name="Nota" xfId="253" builtinId="10" customBuiltin="1"/>
    <cellStyle name="Nota 2" xfId="143" xr:uid="{00000000-0005-0000-0000-0000B5000000}"/>
    <cellStyle name="Nota 3" xfId="144" xr:uid="{00000000-0005-0000-0000-0000B6000000}"/>
    <cellStyle name="Nota 3 2" xfId="196" xr:uid="{00000000-0005-0000-0000-0000B7000000}"/>
    <cellStyle name="Nota 3 3" xfId="236" xr:uid="{00000000-0005-0000-0000-0000B8000000}"/>
    <cellStyle name="Note" xfId="145" xr:uid="{00000000-0005-0000-0000-0000B9000000}"/>
    <cellStyle name="Output" xfId="146" xr:uid="{00000000-0005-0000-0000-0000BA000000}"/>
    <cellStyle name="Porcentagem" xfId="251" builtinId="5"/>
    <cellStyle name="Porcentagem 2" xfId="147" xr:uid="{00000000-0005-0000-0000-0000BC000000}"/>
    <cellStyle name="Porcentagem 2 2" xfId="148" xr:uid="{00000000-0005-0000-0000-0000BD000000}"/>
    <cellStyle name="Porcentagem 2 2 2" xfId="149" xr:uid="{00000000-0005-0000-0000-0000BE000000}"/>
    <cellStyle name="Porcentagem 2 2 3" xfId="197" xr:uid="{00000000-0005-0000-0000-0000BF000000}"/>
    <cellStyle name="Porcentagem 2 2 3 2" xfId="264" xr:uid="{5596B885-3D9B-4F9F-B78F-8C288F54F143}"/>
    <cellStyle name="Porcentagem 2 2 4" xfId="237" xr:uid="{00000000-0005-0000-0000-0000C0000000}"/>
    <cellStyle name="Porcentagem 2 3" xfId="263" xr:uid="{4460959E-04C8-4CB3-8F38-CAA164ACBB16}"/>
    <cellStyle name="Porcentagem 3" xfId="150" xr:uid="{00000000-0005-0000-0000-0000C1000000}"/>
    <cellStyle name="Porcentagem 3 2" xfId="265" xr:uid="{8C51471E-4E1C-4C4E-95DB-EFEF30C049D5}"/>
    <cellStyle name="Porcentagem 4" xfId="151" xr:uid="{00000000-0005-0000-0000-0000C2000000}"/>
    <cellStyle name="Saída" xfId="7" builtinId="21" customBuiltin="1"/>
    <cellStyle name="Sep. milhar [0]" xfId="152" xr:uid="{00000000-0005-0000-0000-0000C4000000}"/>
    <cellStyle name="Separador de milhares 2" xfId="153" xr:uid="{00000000-0005-0000-0000-0000C5000000}"/>
    <cellStyle name="Separador de milhares 2 2" xfId="154" xr:uid="{00000000-0005-0000-0000-0000C6000000}"/>
    <cellStyle name="Separador de milhares 2 2 2" xfId="199" xr:uid="{00000000-0005-0000-0000-0000C7000000}"/>
    <cellStyle name="Separador de milhares 2 2 3" xfId="239" xr:uid="{00000000-0005-0000-0000-0000C8000000}"/>
    <cellStyle name="Separador de milhares 2 3" xfId="198" xr:uid="{00000000-0005-0000-0000-0000C9000000}"/>
    <cellStyle name="Separador de milhares 2 4" xfId="238" xr:uid="{00000000-0005-0000-0000-0000CA000000}"/>
    <cellStyle name="Separador de milhares 2 5" xfId="266" xr:uid="{69795AE9-D8E2-4572-B731-4A199B2EEBB9}"/>
    <cellStyle name="Separador de milhares 3" xfId="155" xr:uid="{00000000-0005-0000-0000-0000CB000000}"/>
    <cellStyle name="Separador de milhares 3 2" xfId="156" xr:uid="{00000000-0005-0000-0000-0000CC000000}"/>
    <cellStyle name="Separador de milhares 3 2 2" xfId="200" xr:uid="{00000000-0005-0000-0000-0000CD000000}"/>
    <cellStyle name="Separador de milhares 3 2 3" xfId="240" xr:uid="{00000000-0005-0000-0000-0000CE000000}"/>
    <cellStyle name="Separador de milhares 3 3" xfId="157" xr:uid="{00000000-0005-0000-0000-0000CF000000}"/>
    <cellStyle name="Separador de milhares 3 3 2" xfId="201" xr:uid="{00000000-0005-0000-0000-0000D0000000}"/>
    <cellStyle name="Separador de milhares 3 3 3" xfId="241" xr:uid="{00000000-0005-0000-0000-0000D1000000}"/>
    <cellStyle name="Separador de milhares 3 4" xfId="267" xr:uid="{2FA24E82-0A10-4B72-82A1-C442C9AFBE39}"/>
    <cellStyle name="Sepavador de milhares [0]_Pasta2" xfId="158" xr:uid="{00000000-0005-0000-0000-0000D2000000}"/>
    <cellStyle name="Texto de Aviso" xfId="11" builtinId="11" customBuiltin="1"/>
    <cellStyle name="Texto Explicativo" xfId="12" builtinId="53" customBuiltin="1"/>
    <cellStyle name="Title" xfId="159" xr:uid="{00000000-0005-0000-0000-0000D5000000}"/>
    <cellStyle name="Título 1" xfId="1" builtinId="16" customBuiltin="1"/>
    <cellStyle name="Título 2" xfId="2" builtinId="17" customBuiltin="1"/>
    <cellStyle name="Título 3" xfId="3" builtinId="18" customBuiltin="1"/>
    <cellStyle name="Título 4" xfId="4" builtinId="19" customBuiltin="1"/>
    <cellStyle name="Título 5" xfId="160" xr:uid="{00000000-0005-0000-0000-0000DA000000}"/>
    <cellStyle name="Total" xfId="13" builtinId="25" customBuiltin="1"/>
    <cellStyle name="Vírgula 10" xfId="268" xr:uid="{5C046826-C403-4B62-BF88-4A76A7DF335D}"/>
    <cellStyle name="Vírgula 2" xfId="161" xr:uid="{00000000-0005-0000-0000-0000DC000000}"/>
    <cellStyle name="Vírgula 2 2" xfId="162" xr:uid="{00000000-0005-0000-0000-0000DD000000}"/>
    <cellStyle name="Vírgula 2 2 2" xfId="204" xr:uid="{00000000-0005-0000-0000-0000DE000000}"/>
    <cellStyle name="Vírgula 2 2 3" xfId="243" xr:uid="{00000000-0005-0000-0000-0000DF000000}"/>
    <cellStyle name="Vírgula 2 3" xfId="163" xr:uid="{00000000-0005-0000-0000-0000E0000000}"/>
    <cellStyle name="Vírgula 2 3 2" xfId="164" xr:uid="{00000000-0005-0000-0000-0000E1000000}"/>
    <cellStyle name="Vírgula 2 3 2 2" xfId="206" xr:uid="{00000000-0005-0000-0000-0000E2000000}"/>
    <cellStyle name="Vírgula 2 3 2 3" xfId="244" xr:uid="{00000000-0005-0000-0000-0000E3000000}"/>
    <cellStyle name="Vírgula 2 3 3" xfId="205" xr:uid="{00000000-0005-0000-0000-0000E4000000}"/>
    <cellStyle name="Vírgula 2 4" xfId="203" xr:uid="{00000000-0005-0000-0000-0000E5000000}"/>
    <cellStyle name="Vírgula 2 5" xfId="242" xr:uid="{00000000-0005-0000-0000-0000E6000000}"/>
    <cellStyle name="Vírgula 2 6" xfId="269" xr:uid="{42AF2C50-94AF-42CF-BA52-C16A3FB01A78}"/>
    <cellStyle name="Vírgula 3" xfId="165" xr:uid="{00000000-0005-0000-0000-0000E7000000}"/>
    <cellStyle name="Vírgula 3 2" xfId="166" xr:uid="{00000000-0005-0000-0000-0000E8000000}"/>
    <cellStyle name="Vírgula 3 2 2" xfId="207" xr:uid="{00000000-0005-0000-0000-0000E9000000}"/>
    <cellStyle name="Vírgula 3 2 3" xfId="245" xr:uid="{00000000-0005-0000-0000-0000EA000000}"/>
    <cellStyle name="Vírgula 4" xfId="167" xr:uid="{00000000-0005-0000-0000-0000EB000000}"/>
    <cellStyle name="Vírgula 4 2" xfId="208" xr:uid="{00000000-0005-0000-0000-0000EC000000}"/>
    <cellStyle name="Vírgula 4 3" xfId="246" xr:uid="{00000000-0005-0000-0000-0000ED000000}"/>
    <cellStyle name="Vírgula 5" xfId="168" xr:uid="{00000000-0005-0000-0000-0000EE000000}"/>
    <cellStyle name="Vírgula 5 2" xfId="209" xr:uid="{00000000-0005-0000-0000-0000EF000000}"/>
    <cellStyle name="Vírgula 5 3" xfId="247" xr:uid="{00000000-0005-0000-0000-0000F0000000}"/>
    <cellStyle name="Vírgula 6" xfId="169" xr:uid="{00000000-0005-0000-0000-0000F1000000}"/>
    <cellStyle name="Vírgula 6 2" xfId="210" xr:uid="{00000000-0005-0000-0000-0000F2000000}"/>
    <cellStyle name="Vírgula 6 3" xfId="248" xr:uid="{00000000-0005-0000-0000-0000F3000000}"/>
    <cellStyle name="Vírgula 7" xfId="170" xr:uid="{00000000-0005-0000-0000-0000F4000000}"/>
    <cellStyle name="Vírgula 7 2" xfId="211" xr:uid="{00000000-0005-0000-0000-0000F5000000}"/>
    <cellStyle name="Vírgula 7 3" xfId="249" xr:uid="{00000000-0005-0000-0000-0000F6000000}"/>
    <cellStyle name="Vírgula 8" xfId="171" xr:uid="{00000000-0005-0000-0000-0000F7000000}"/>
    <cellStyle name="Vírgula 8 2" xfId="212" xr:uid="{00000000-0005-0000-0000-0000F8000000}"/>
    <cellStyle name="Vírgula 8 3" xfId="250" xr:uid="{00000000-0005-0000-0000-0000F9000000}"/>
    <cellStyle name="Vírgula 9" xfId="202" xr:uid="{00000000-0005-0000-0000-0000FA000000}"/>
    <cellStyle name="Warning Text" xfId="172" xr:uid="{00000000-0005-0000-0000-0000FB000000}"/>
  </cellStyles>
  <dxfs count="0"/>
  <tableStyles count="0" defaultTableStyle="TableStyleMedium2" defaultPivotStyle="PivotStyleLight16"/>
  <colors>
    <mruColors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157161</xdr:colOff>
      <xdr:row>1</xdr:row>
      <xdr:rowOff>83344</xdr:rowOff>
    </xdr:from>
    <xdr:to>
      <xdr:col>3</xdr:col>
      <xdr:colOff>747711</xdr:colOff>
      <xdr:row>2</xdr:row>
      <xdr:rowOff>380473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9611EB73-3DA2-476B-BF33-2A325BEA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1" y="182404"/>
          <a:ext cx="2205990" cy="6552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157161</xdr:colOff>
      <xdr:row>1</xdr:row>
      <xdr:rowOff>83344</xdr:rowOff>
    </xdr:from>
    <xdr:to>
      <xdr:col>3</xdr:col>
      <xdr:colOff>747711</xdr:colOff>
      <xdr:row>2</xdr:row>
      <xdr:rowOff>380473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49" y="190500"/>
          <a:ext cx="2174081" cy="6543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rzedo\e\COPASA%202012\COPASA%202012\CODEVASF%20-%20ROSE\JANEIRO\LIGACOES%20INTRADOMICILIARES%20-%20BOM%20DESPACH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QUIVOS%20OBRAS/RAFAEL%202022/CAMPO%20B%20BRASILIA/ENGENHARIA/PO%20Marco-2022/PO%20Campo%20Futebol%20-%20Julho%20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rzedo\e\ARQUIVOS%20OBRAS\AOBRAS\ESCOLA%20MUNICIPAL%20JOSE%20BATISTA%20FILHO%2015-05-2020\PLANILHA\PLANILHA%20M&#218;LTIPLA%20V3.0.5%20-%20REVITALIZA&#199;&#195;O%20DE%20CAMPO%20DE%20FUTEBOL%20-%20SISTEMA%20FLUTUANTE%20(ADOTADO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rzedo\e\ARQUIVOS%20OBRAS\ENG.ALLEFER\Booster%20Masteer%20Ville\PLANILHA%20BOOSTER%20MASTERVILLE%20COMP%20MENOR%20PRE&#199;O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arol\Downloads\C&#243;pia%20de%20PLANILHA%20AREA%20EXTERNA%20ESCOLA%20MASTERVILLE.REV1.xls" TargetMode="External"/><Relationship Id="rId1" Type="http://schemas.openxmlformats.org/officeDocument/2006/relationships/externalLinkPath" Target="file:///C:\Users\carol\Downloads\C&#243;pia%20de%20PLANILHA%20AREA%20EXTERNA%20ESCOLA%20MASTERVILLE.RE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rutura"/>
      <sheetName val="Orçamento Sintético"/>
      <sheetName val="Orçamento Analítico"/>
      <sheetName val="Cronograma"/>
      <sheetName val="BDI - SERVIÇOS"/>
      <sheetName val="BDI - MAT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CRONOGRAMA FÍSICO-FINANCEIRO</v>
          </cell>
        </row>
        <row r="4">
          <cell r="A4" t="str">
            <v>BOM DESPACHO - MG</v>
          </cell>
        </row>
        <row r="5">
          <cell r="A5" t="str">
            <v>OBRA: LIGAÇÕES INTRADOMICILIARES -  BOM DESPACHO</v>
          </cell>
        </row>
        <row r="7">
          <cell r="A7" t="str">
            <v>Item</v>
          </cell>
          <cell r="B7" t="str">
            <v>Discriminação dos Serviços</v>
          </cell>
          <cell r="C7" t="str">
            <v>Peso    %</v>
          </cell>
          <cell r="D7" t="str">
            <v>Vl. das Obras/ Serviços (R$)</v>
          </cell>
          <cell r="E7" t="str">
            <v>Mês 01</v>
          </cell>
          <cell r="G7" t="str">
            <v>Mês 02</v>
          </cell>
          <cell r="I7" t="str">
            <v>Mês 03</v>
          </cell>
          <cell r="K7" t="str">
            <v>TOTAL</v>
          </cell>
        </row>
        <row r="8">
          <cell r="E8" t="str">
            <v>%</v>
          </cell>
          <cell r="F8" t="str">
            <v>R$</v>
          </cell>
          <cell r="G8" t="str">
            <v>%</v>
          </cell>
          <cell r="H8" t="str">
            <v>R$</v>
          </cell>
          <cell r="I8" t="str">
            <v>%</v>
          </cell>
          <cell r="J8" t="str">
            <v>R$</v>
          </cell>
          <cell r="K8" t="str">
            <v>%</v>
          </cell>
          <cell r="L8" t="str">
            <v>R$</v>
          </cell>
        </row>
        <row r="9">
          <cell r="A9" t="str">
            <v>01</v>
          </cell>
          <cell r="B9" t="str">
            <v>ITENS DE RATEIO</v>
          </cell>
          <cell r="C9">
            <v>0.44727697568639729</v>
          </cell>
          <cell r="D9">
            <v>109012.86</v>
          </cell>
        </row>
        <row r="11">
          <cell r="A11" t="str">
            <v>02</v>
          </cell>
          <cell r="B11" t="str">
            <v>LIGAÇÕES INTRADOMICILIARES</v>
          </cell>
          <cell r="C11">
            <v>0.39678607613288958</v>
          </cell>
          <cell r="D11">
            <v>96706.934000000008</v>
          </cell>
        </row>
        <row r="13">
          <cell r="A13" t="str">
            <v>03</v>
          </cell>
          <cell r="B13" t="str">
            <v>LIGAÇÕES DOMICILIARES</v>
          </cell>
          <cell r="C13">
            <v>0.15593694818071324</v>
          </cell>
          <cell r="D13">
            <v>38005.829999999994</v>
          </cell>
        </row>
        <row r="16">
          <cell r="A16" t="str">
            <v>TOTAL</v>
          </cell>
          <cell r="B16" t="str">
            <v>SIMPLES</v>
          </cell>
        </row>
        <row r="17">
          <cell r="B17" t="str">
            <v>ACUMULADO</v>
          </cell>
          <cell r="C17">
            <v>1</v>
          </cell>
          <cell r="D17">
            <v>243725.62399999998</v>
          </cell>
        </row>
      </sheetData>
      <sheetData sheetId="4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/>
      <sheetData sheetId="1">
        <row r="6">
          <cell r="F6" t="str">
            <v>Sarzedo/MG</v>
          </cell>
        </row>
        <row r="18">
          <cell r="F18" t="str">
            <v>NÃO DESONERADO</v>
          </cell>
        </row>
        <row r="22">
          <cell r="F22" t="str">
            <v>Valter Ediraldo de Oliveira</v>
          </cell>
        </row>
        <row r="23">
          <cell r="F23" t="str">
            <v>37.307/D</v>
          </cell>
        </row>
        <row r="24">
          <cell r="F24" t="str">
            <v>14201800000004936501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>
        <row r="3">
          <cell r="O3">
            <v>1</v>
          </cell>
        </row>
      </sheetData>
      <sheetData sheetId="1" refreshError="1">
        <row r="6">
          <cell r="F6" t="str">
            <v>Sarzedo/MG</v>
          </cell>
        </row>
        <row r="22">
          <cell r="F22" t="str">
            <v>Valter Ediraldo de Oliveira</v>
          </cell>
        </row>
        <row r="23">
          <cell r="F23" t="str">
            <v>37.307/D</v>
          </cell>
        </row>
        <row r="24">
          <cell r="F24" t="str">
            <v>14201800000004936501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.O"/>
      <sheetName val="BDI"/>
      <sheetName val="CPU"/>
      <sheetName val="CFF"/>
      <sheetName val="Composição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MENTO ANALÍTICO"/>
      <sheetName val="CFF"/>
      <sheetName val="BDI"/>
      <sheetName val="Composição"/>
    </sheetNames>
    <sheetDataSet>
      <sheetData sheetId="0">
        <row r="10">
          <cell r="D10" t="str">
            <v>ADMINISTRAÇÃO LOCAL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2DB9B-84BE-4B78-8ABE-52C28978D8B2}">
  <dimension ref="B1:R60"/>
  <sheetViews>
    <sheetView tabSelected="1" topLeftCell="A4" zoomScale="93" zoomScaleNormal="115" workbookViewId="0">
      <selection activeCell="E3" sqref="E3:J3"/>
    </sheetView>
  </sheetViews>
  <sheetFormatPr defaultRowHeight="15.75" x14ac:dyDescent="0.25"/>
  <cols>
    <col min="1" max="1" width="2.5703125" customWidth="1"/>
    <col min="3" max="3" width="14.7109375" customWidth="1"/>
    <col min="4" max="4" width="13.42578125" customWidth="1"/>
    <col min="5" max="5" width="84.85546875" customWidth="1"/>
    <col min="7" max="7" width="11.28515625" bestFit="1" customWidth="1"/>
    <col min="8" max="8" width="14.7109375" customWidth="1"/>
    <col min="9" max="9" width="16.7109375" bestFit="1" customWidth="1"/>
    <col min="10" max="10" width="20" bestFit="1" customWidth="1"/>
    <col min="11" max="11" width="17.28515625" customWidth="1"/>
    <col min="12" max="12" width="20" style="1" bestFit="1" customWidth="1"/>
    <col min="13" max="13" width="14.7109375" customWidth="1"/>
    <col min="14" max="14" width="17.5703125" bestFit="1" customWidth="1"/>
  </cols>
  <sheetData>
    <row r="1" spans="2:18" ht="8.25" customHeight="1" thickBot="1" x14ac:dyDescent="0.3">
      <c r="B1" s="2"/>
      <c r="L1"/>
    </row>
    <row r="2" spans="2:18" ht="28.5" customHeight="1" x14ac:dyDescent="0.25">
      <c r="B2" s="202"/>
      <c r="C2" s="203"/>
      <c r="D2" s="203"/>
      <c r="E2" s="206" t="s">
        <v>0</v>
      </c>
      <c r="F2" s="206"/>
      <c r="G2" s="206"/>
      <c r="H2" s="206"/>
      <c r="I2" s="206"/>
      <c r="J2" s="207"/>
      <c r="K2" s="1"/>
      <c r="M2" s="1"/>
      <c r="N2" s="1"/>
    </row>
    <row r="3" spans="2:18" ht="33" customHeight="1" x14ac:dyDescent="0.25">
      <c r="B3" s="204"/>
      <c r="C3" s="205"/>
      <c r="D3" s="205"/>
      <c r="E3" s="208" t="s">
        <v>1</v>
      </c>
      <c r="F3" s="208"/>
      <c r="G3" s="208"/>
      <c r="H3" s="208"/>
      <c r="I3" s="208"/>
      <c r="J3" s="209"/>
      <c r="K3" s="1"/>
      <c r="M3" s="1"/>
      <c r="N3" s="1"/>
    </row>
    <row r="4" spans="2:18" ht="28.5" customHeight="1" x14ac:dyDescent="0.25">
      <c r="B4" s="210" t="s">
        <v>2</v>
      </c>
      <c r="C4" s="211"/>
      <c r="D4" s="211"/>
      <c r="E4" s="17" t="s">
        <v>262</v>
      </c>
      <c r="F4" s="212" t="s">
        <v>6</v>
      </c>
      <c r="G4" s="212"/>
      <c r="H4" s="212"/>
      <c r="I4" s="212"/>
      <c r="J4" s="14" t="s">
        <v>8</v>
      </c>
      <c r="K4" s="1"/>
      <c r="M4" s="1"/>
      <c r="N4" s="1"/>
    </row>
    <row r="5" spans="2:18" ht="39.75" customHeight="1" x14ac:dyDescent="0.25">
      <c r="B5" s="210" t="s">
        <v>3</v>
      </c>
      <c r="C5" s="211"/>
      <c r="D5" s="211"/>
      <c r="E5" s="17" t="s">
        <v>109</v>
      </c>
      <c r="F5" s="211" t="s">
        <v>7</v>
      </c>
      <c r="G5" s="211"/>
      <c r="H5" s="211"/>
      <c r="I5" s="211"/>
      <c r="J5" s="213" t="s">
        <v>255</v>
      </c>
      <c r="K5" s="1"/>
      <c r="M5" s="1"/>
      <c r="N5" s="1"/>
    </row>
    <row r="6" spans="2:18" ht="30.75" customHeight="1" x14ac:dyDescent="0.25">
      <c r="B6" s="210" t="s">
        <v>4</v>
      </c>
      <c r="C6" s="211"/>
      <c r="D6" s="211"/>
      <c r="E6" s="16" t="s">
        <v>232</v>
      </c>
      <c r="F6" s="211"/>
      <c r="G6" s="211"/>
      <c r="H6" s="211"/>
      <c r="I6" s="211"/>
      <c r="J6" s="213"/>
      <c r="K6" s="1"/>
      <c r="M6" s="1"/>
      <c r="N6" s="1"/>
    </row>
    <row r="7" spans="2:18" x14ac:dyDescent="0.25">
      <c r="B7" s="210" t="s">
        <v>5</v>
      </c>
      <c r="C7" s="211"/>
      <c r="D7" s="211"/>
      <c r="E7" s="151" t="s">
        <v>233</v>
      </c>
      <c r="F7" s="211"/>
      <c r="G7" s="211"/>
      <c r="H7" s="15"/>
      <c r="I7" s="10" t="s">
        <v>21</v>
      </c>
      <c r="J7" s="49">
        <v>0.2263</v>
      </c>
      <c r="K7" s="1"/>
      <c r="M7" s="1"/>
      <c r="N7" s="1"/>
    </row>
    <row r="8" spans="2:18" x14ac:dyDescent="0.25">
      <c r="B8" s="214" t="s">
        <v>11</v>
      </c>
      <c r="C8" s="215"/>
      <c r="D8" s="215"/>
      <c r="E8" s="215"/>
      <c r="F8" s="215"/>
      <c r="G8" s="215"/>
      <c r="H8" s="215"/>
      <c r="I8" s="215"/>
      <c r="J8" s="216"/>
      <c r="K8" s="1"/>
      <c r="M8" s="1"/>
      <c r="N8" s="1"/>
      <c r="R8" s="18"/>
    </row>
    <row r="9" spans="2:18" ht="25.5" x14ac:dyDescent="0.25">
      <c r="B9" s="37" t="s">
        <v>12</v>
      </c>
      <c r="C9" s="38" t="s">
        <v>13</v>
      </c>
      <c r="D9" s="38" t="s">
        <v>10</v>
      </c>
      <c r="E9" s="38" t="s">
        <v>14</v>
      </c>
      <c r="F9" s="38" t="s">
        <v>20</v>
      </c>
      <c r="G9" s="38" t="s">
        <v>15</v>
      </c>
      <c r="H9" s="39" t="s">
        <v>16</v>
      </c>
      <c r="I9" s="39" t="s">
        <v>17</v>
      </c>
      <c r="J9" s="40" t="s">
        <v>18</v>
      </c>
      <c r="K9" s="1"/>
      <c r="L9" s="121"/>
      <c r="M9" s="121"/>
      <c r="N9" s="3"/>
      <c r="Q9" s="29"/>
    </row>
    <row r="10" spans="2:18" ht="22.5" customHeight="1" x14ac:dyDescent="0.25">
      <c r="B10" s="41">
        <v>1</v>
      </c>
      <c r="C10" s="30"/>
      <c r="D10" s="30"/>
      <c r="E10" s="30" t="s">
        <v>23</v>
      </c>
      <c r="F10" s="30"/>
      <c r="G10" s="30"/>
      <c r="H10" s="31"/>
      <c r="I10" s="31"/>
      <c r="J10" s="32"/>
      <c r="K10" s="1"/>
      <c r="M10" s="1"/>
      <c r="N10" s="1"/>
    </row>
    <row r="11" spans="2:18" ht="63.75" x14ac:dyDescent="0.25">
      <c r="B11" s="9" t="s">
        <v>234</v>
      </c>
      <c r="C11" s="9" t="s">
        <v>9</v>
      </c>
      <c r="D11" s="9" t="s">
        <v>253</v>
      </c>
      <c r="E11" s="131" t="s">
        <v>254</v>
      </c>
      <c r="F11" s="9" t="s">
        <v>20</v>
      </c>
      <c r="G11" s="52">
        <v>1</v>
      </c>
      <c r="H11" s="146">
        <v>1396.17</v>
      </c>
      <c r="I11" s="146">
        <f>H11*(1+J$7)</f>
        <v>1712.1232709999999</v>
      </c>
      <c r="J11" s="147">
        <f>G11*I11</f>
        <v>1712.1232709999999</v>
      </c>
      <c r="K11" s="1"/>
      <c r="M11" s="1"/>
      <c r="N11" s="1"/>
    </row>
    <row r="12" spans="2:18" x14ac:dyDescent="0.25">
      <c r="B12" s="9" t="s">
        <v>235</v>
      </c>
      <c r="C12" s="9" t="s">
        <v>22</v>
      </c>
      <c r="D12" s="9">
        <v>90778</v>
      </c>
      <c r="E12" s="132" t="s">
        <v>102</v>
      </c>
      <c r="F12" s="9" t="s">
        <v>93</v>
      </c>
      <c r="G12" s="52">
        <v>40</v>
      </c>
      <c r="H12" s="146">
        <v>101.89</v>
      </c>
      <c r="I12" s="146">
        <f>H12*(1+J$7)</f>
        <v>124.94770699999999</v>
      </c>
      <c r="J12" s="147">
        <f>G12*I12</f>
        <v>4997.9082799999996</v>
      </c>
      <c r="K12" s="1"/>
      <c r="M12" s="1"/>
      <c r="N12" s="1"/>
    </row>
    <row r="13" spans="2:18" x14ac:dyDescent="0.25">
      <c r="B13" s="9" t="s">
        <v>236</v>
      </c>
      <c r="C13" s="9" t="s">
        <v>9</v>
      </c>
      <c r="D13" s="9" t="s">
        <v>208</v>
      </c>
      <c r="E13" s="132" t="s">
        <v>209</v>
      </c>
      <c r="F13" s="9" t="s">
        <v>210</v>
      </c>
      <c r="G13" s="52">
        <v>3</v>
      </c>
      <c r="H13" s="146">
        <v>10164.4</v>
      </c>
      <c r="I13" s="146">
        <f>H13*(1+J$7)</f>
        <v>12464.603719999999</v>
      </c>
      <c r="J13" s="147">
        <f>G13*I13</f>
        <v>37393.811159999997</v>
      </c>
      <c r="K13" s="1"/>
      <c r="M13" s="1"/>
      <c r="N13" s="1"/>
    </row>
    <row r="14" spans="2:18" x14ac:dyDescent="0.25">
      <c r="B14" s="9" t="s">
        <v>252</v>
      </c>
      <c r="C14" s="9" t="s">
        <v>9</v>
      </c>
      <c r="D14" s="9" t="s">
        <v>211</v>
      </c>
      <c r="E14" s="132" t="s">
        <v>212</v>
      </c>
      <c r="F14" s="9" t="s">
        <v>213</v>
      </c>
      <c r="G14" s="52">
        <v>2</v>
      </c>
      <c r="H14" s="146">
        <v>1304.05</v>
      </c>
      <c r="I14" s="146">
        <f>H14*(1+J$7)</f>
        <v>1599.1565149999999</v>
      </c>
      <c r="J14" s="147">
        <f>G14*I14</f>
        <v>3198.3130299999998</v>
      </c>
      <c r="K14" s="1"/>
      <c r="L14" s="170"/>
      <c r="M14" s="171"/>
      <c r="N14" s="170"/>
    </row>
    <row r="15" spans="2:18" ht="18" customHeight="1" x14ac:dyDescent="0.25">
      <c r="B15" s="217" t="s">
        <v>19</v>
      </c>
      <c r="C15" s="218"/>
      <c r="D15" s="218"/>
      <c r="E15" s="218"/>
      <c r="F15" s="218"/>
      <c r="G15" s="218"/>
      <c r="H15" s="219"/>
      <c r="I15" s="152"/>
      <c r="J15" s="198">
        <f>SUM(J11:J14)</f>
        <v>47302.155740999995</v>
      </c>
      <c r="K15" s="1"/>
      <c r="L15" s="172"/>
      <c r="M15" s="172"/>
      <c r="N15" s="172"/>
    </row>
    <row r="16" spans="2:18" ht="22.5" customHeight="1" x14ac:dyDescent="0.25">
      <c r="B16" s="33">
        <v>2</v>
      </c>
      <c r="C16" s="42"/>
      <c r="D16" s="42"/>
      <c r="E16" s="30" t="s">
        <v>24</v>
      </c>
      <c r="F16" s="42"/>
      <c r="G16" s="42"/>
      <c r="H16" s="42"/>
      <c r="I16" s="42"/>
      <c r="J16" s="34"/>
      <c r="K16" s="25"/>
      <c r="M16" s="1"/>
      <c r="N16" s="1"/>
    </row>
    <row r="17" spans="2:14" s="8" customFormat="1" ht="38.25" x14ac:dyDescent="0.25">
      <c r="B17" s="9" t="s">
        <v>237</v>
      </c>
      <c r="C17" s="4" t="s">
        <v>9</v>
      </c>
      <c r="D17" s="11" t="s">
        <v>107</v>
      </c>
      <c r="E17" s="5" t="s">
        <v>108</v>
      </c>
      <c r="F17" s="4" t="s">
        <v>20</v>
      </c>
      <c r="G17" s="52">
        <v>1</v>
      </c>
      <c r="H17" s="53">
        <v>1568.04</v>
      </c>
      <c r="I17" s="50">
        <f>H17*(1+J$7)</f>
        <v>1922.8874519999999</v>
      </c>
      <c r="J17" s="51">
        <f>G17*I17</f>
        <v>1922.8874519999999</v>
      </c>
      <c r="K17" s="6"/>
      <c r="L17" s="7"/>
      <c r="M17" s="6"/>
      <c r="N17" s="6"/>
    </row>
    <row r="18" spans="2:14" ht="63.75" x14ac:dyDescent="0.25">
      <c r="B18" s="9" t="s">
        <v>238</v>
      </c>
      <c r="C18" s="4" t="s">
        <v>9</v>
      </c>
      <c r="D18" s="4" t="s">
        <v>97</v>
      </c>
      <c r="E18" s="5" t="s">
        <v>100</v>
      </c>
      <c r="F18" s="4" t="s">
        <v>98</v>
      </c>
      <c r="G18" s="52">
        <v>3</v>
      </c>
      <c r="H18" s="50">
        <v>944.26</v>
      </c>
      <c r="I18" s="50">
        <f>H18*(1+J$7)</f>
        <v>1157.946038</v>
      </c>
      <c r="J18" s="51">
        <f>G18*I18</f>
        <v>3473.8381140000001</v>
      </c>
      <c r="K18" s="25"/>
      <c r="M18" s="1"/>
      <c r="N18" s="1"/>
    </row>
    <row r="19" spans="2:14" ht="63.75" customHeight="1" x14ac:dyDescent="0.25">
      <c r="B19" s="9" t="s">
        <v>239</v>
      </c>
      <c r="C19" s="9" t="s">
        <v>9</v>
      </c>
      <c r="D19" s="9" t="s">
        <v>99</v>
      </c>
      <c r="E19" s="131" t="s">
        <v>101</v>
      </c>
      <c r="F19" s="9" t="s">
        <v>98</v>
      </c>
      <c r="G19" s="52">
        <v>3</v>
      </c>
      <c r="H19" s="133">
        <v>836.4</v>
      </c>
      <c r="I19" s="133">
        <f>H19*(1+J$7)</f>
        <v>1025.67732</v>
      </c>
      <c r="J19" s="51">
        <f>G19*I19</f>
        <v>3077.0319600000003</v>
      </c>
      <c r="K19" s="25"/>
      <c r="M19" s="1"/>
      <c r="N19" s="1"/>
    </row>
    <row r="20" spans="2:14" s="8" customFormat="1" ht="15.75" customHeight="1" x14ac:dyDescent="0.25">
      <c r="B20" s="199" t="s">
        <v>19</v>
      </c>
      <c r="C20" s="200"/>
      <c r="D20" s="200"/>
      <c r="E20" s="200"/>
      <c r="F20" s="200"/>
      <c r="G20" s="200"/>
      <c r="H20" s="201"/>
      <c r="I20" s="153"/>
      <c r="J20" s="169">
        <f>SUM(J17:J19)</f>
        <v>8473.7575260000012</v>
      </c>
      <c r="K20" s="6"/>
      <c r="L20" s="7"/>
      <c r="M20" s="6"/>
      <c r="N20" s="6"/>
    </row>
    <row r="21" spans="2:14" ht="22.5" customHeight="1" x14ac:dyDescent="0.25">
      <c r="B21" s="33">
        <v>3</v>
      </c>
      <c r="C21" s="35"/>
      <c r="D21" s="30"/>
      <c r="E21" s="30" t="s">
        <v>230</v>
      </c>
      <c r="F21" s="30"/>
      <c r="G21" s="30"/>
      <c r="H21" s="43"/>
      <c r="I21" s="43"/>
      <c r="J21" s="36"/>
      <c r="K21" s="23"/>
      <c r="L21" s="3"/>
      <c r="M21" s="1"/>
      <c r="N21" s="1"/>
    </row>
    <row r="22" spans="2:14" ht="25.5" x14ac:dyDescent="0.25">
      <c r="B22" s="9" t="s">
        <v>133</v>
      </c>
      <c r="C22" s="4" t="s">
        <v>9</v>
      </c>
      <c r="D22" s="4" t="s">
        <v>118</v>
      </c>
      <c r="E22" s="5" t="s">
        <v>119</v>
      </c>
      <c r="F22" s="4" t="s">
        <v>120</v>
      </c>
      <c r="G22" s="136">
        <f>5*10*2</f>
        <v>100</v>
      </c>
      <c r="H22" s="54">
        <v>9.82</v>
      </c>
      <c r="I22" s="54">
        <f>H22*(1+J$7)</f>
        <v>12.042266</v>
      </c>
      <c r="J22" s="55">
        <f>G22*I22</f>
        <v>1204.2266</v>
      </c>
      <c r="K22" s="23"/>
      <c r="L22" s="3"/>
      <c r="M22" s="1"/>
      <c r="N22" s="1"/>
    </row>
    <row r="23" spans="2:14" s="8" customFormat="1" ht="38.25" x14ac:dyDescent="0.25">
      <c r="B23" s="9" t="s">
        <v>134</v>
      </c>
      <c r="C23" s="4" t="s">
        <v>9</v>
      </c>
      <c r="D23" s="4" t="s">
        <v>111</v>
      </c>
      <c r="E23" s="5" t="s">
        <v>112</v>
      </c>
      <c r="F23" s="4" t="s">
        <v>25</v>
      </c>
      <c r="G23" s="136">
        <f>861.4-61.62</f>
        <v>799.78</v>
      </c>
      <c r="H23" s="54">
        <v>23.9</v>
      </c>
      <c r="I23" s="54">
        <f t="shared" ref="I23:I41" si="0">H23*(1+J$7)</f>
        <v>29.308569999999996</v>
      </c>
      <c r="J23" s="55">
        <f t="shared" ref="J23:J41" si="1">G23*I23</f>
        <v>23440.408114599995</v>
      </c>
      <c r="K23" s="6"/>
      <c r="L23" s="7"/>
      <c r="M23" s="6"/>
      <c r="N23" s="6"/>
    </row>
    <row r="24" spans="2:14" s="8" customFormat="1" ht="38.25" x14ac:dyDescent="0.25">
      <c r="B24" s="9" t="s">
        <v>135</v>
      </c>
      <c r="C24" s="4" t="s">
        <v>9</v>
      </c>
      <c r="D24" s="4" t="s">
        <v>113</v>
      </c>
      <c r="E24" s="5" t="s">
        <v>114</v>
      </c>
      <c r="F24" s="4" t="s">
        <v>25</v>
      </c>
      <c r="G24" s="136">
        <f>861.4-61.62</f>
        <v>799.78</v>
      </c>
      <c r="H24" s="54">
        <v>22.25</v>
      </c>
      <c r="I24" s="54">
        <f t="shared" si="0"/>
        <v>27.285174999999999</v>
      </c>
      <c r="J24" s="55">
        <f t="shared" si="1"/>
        <v>21822.1372615</v>
      </c>
      <c r="K24" s="6"/>
      <c r="L24" s="7"/>
      <c r="M24" s="6"/>
      <c r="N24" s="6"/>
    </row>
    <row r="25" spans="2:14" s="8" customFormat="1" ht="38.25" x14ac:dyDescent="0.25">
      <c r="B25" s="9" t="s">
        <v>136</v>
      </c>
      <c r="C25" s="4" t="s">
        <v>9</v>
      </c>
      <c r="D25" s="4" t="s">
        <v>127</v>
      </c>
      <c r="E25" s="5" t="s">
        <v>128</v>
      </c>
      <c r="F25" s="4" t="s">
        <v>25</v>
      </c>
      <c r="G25" s="136">
        <v>61.62</v>
      </c>
      <c r="H25" s="54">
        <v>8.9</v>
      </c>
      <c r="I25" s="54">
        <f t="shared" si="0"/>
        <v>10.914070000000001</v>
      </c>
      <c r="J25" s="55">
        <f t="shared" si="1"/>
        <v>672.52499339999997</v>
      </c>
      <c r="K25" s="6"/>
      <c r="L25" s="7"/>
      <c r="M25" s="6"/>
      <c r="N25" s="6"/>
    </row>
    <row r="26" spans="2:14" s="8" customFormat="1" ht="25.5" x14ac:dyDescent="0.25">
      <c r="B26" s="9" t="s">
        <v>137</v>
      </c>
      <c r="C26" s="4" t="s">
        <v>9</v>
      </c>
      <c r="D26" s="4" t="s">
        <v>145</v>
      </c>
      <c r="E26" s="5" t="s">
        <v>146</v>
      </c>
      <c r="F26" s="4" t="s">
        <v>147</v>
      </c>
      <c r="G26" s="136">
        <f>30*1</f>
        <v>30</v>
      </c>
      <c r="H26" s="54">
        <v>45.55</v>
      </c>
      <c r="I26" s="54">
        <f t="shared" si="0"/>
        <v>55.857964999999993</v>
      </c>
      <c r="J26" s="55">
        <f t="shared" si="1"/>
        <v>1675.7389499999997</v>
      </c>
      <c r="K26" s="6"/>
      <c r="L26" s="7"/>
      <c r="M26" s="6"/>
      <c r="N26" s="6"/>
    </row>
    <row r="27" spans="2:14" s="8" customFormat="1" ht="25.5" x14ac:dyDescent="0.25">
      <c r="B27" s="9" t="s">
        <v>138</v>
      </c>
      <c r="C27" s="4" t="s">
        <v>9</v>
      </c>
      <c r="D27" s="4" t="s">
        <v>123</v>
      </c>
      <c r="E27" s="5" t="s">
        <v>124</v>
      </c>
      <c r="F27" s="4" t="s">
        <v>103</v>
      </c>
      <c r="G27" s="136">
        <f>(G23*0.015)+(G24*0.1)+(G25*0.005)</f>
        <v>92.282800000000009</v>
      </c>
      <c r="H27" s="54">
        <v>39.520000000000003</v>
      </c>
      <c r="I27" s="54">
        <f t="shared" si="0"/>
        <v>48.463376000000004</v>
      </c>
      <c r="J27" s="55">
        <f t="shared" si="1"/>
        <v>4472.3360347328007</v>
      </c>
      <c r="K27" s="6"/>
      <c r="L27" s="7"/>
      <c r="M27" s="6"/>
      <c r="N27" s="6"/>
    </row>
    <row r="28" spans="2:14" s="8" customFormat="1" ht="25.5" x14ac:dyDescent="0.25">
      <c r="B28" s="9" t="s">
        <v>139</v>
      </c>
      <c r="C28" s="4" t="s">
        <v>9</v>
      </c>
      <c r="D28" s="4" t="s">
        <v>121</v>
      </c>
      <c r="E28" s="5" t="s">
        <v>122</v>
      </c>
      <c r="F28" s="4" t="s">
        <v>103</v>
      </c>
      <c r="G28" s="136">
        <f>(G23*0.015)+(G24*0.1)+(G25*0.005)</f>
        <v>92.282800000000009</v>
      </c>
      <c r="H28" s="54">
        <v>60.15</v>
      </c>
      <c r="I28" s="54">
        <f t="shared" si="0"/>
        <v>73.761944999999997</v>
      </c>
      <c r="J28" s="55">
        <f t="shared" si="1"/>
        <v>6806.9588180460005</v>
      </c>
      <c r="K28" s="6"/>
      <c r="L28" s="7"/>
      <c r="M28" s="6"/>
      <c r="N28" s="6"/>
    </row>
    <row r="29" spans="2:14" s="8" customFormat="1" ht="63.75" x14ac:dyDescent="0.25">
      <c r="B29" s="9" t="s">
        <v>140</v>
      </c>
      <c r="C29" s="4" t="s">
        <v>9</v>
      </c>
      <c r="D29" s="4" t="s">
        <v>125</v>
      </c>
      <c r="E29" s="5" t="s">
        <v>117</v>
      </c>
      <c r="F29" s="4" t="s">
        <v>126</v>
      </c>
      <c r="G29" s="136">
        <f>13.5*(861.4)</f>
        <v>11628.9</v>
      </c>
      <c r="H29" s="54">
        <v>24.87</v>
      </c>
      <c r="I29" s="54">
        <f t="shared" si="0"/>
        <v>30.498080999999999</v>
      </c>
      <c r="J29" s="55">
        <f t="shared" si="1"/>
        <v>354659.13414089999</v>
      </c>
      <c r="K29" s="6"/>
      <c r="L29" s="7"/>
      <c r="M29" s="6"/>
      <c r="N29" s="6"/>
    </row>
    <row r="30" spans="2:14" s="8" customFormat="1" ht="38.25" x14ac:dyDescent="0.25">
      <c r="B30" s="9" t="s">
        <v>141</v>
      </c>
      <c r="C30" s="4" t="s">
        <v>9</v>
      </c>
      <c r="D30" s="4" t="s">
        <v>256</v>
      </c>
      <c r="E30" s="5" t="s">
        <v>257</v>
      </c>
      <c r="F30" s="4" t="s">
        <v>25</v>
      </c>
      <c r="G30" s="136">
        <f>(205.7+655.7)</f>
        <v>861.40000000000009</v>
      </c>
      <c r="H30" s="54">
        <v>102.16</v>
      </c>
      <c r="I30" s="54">
        <f t="shared" si="0"/>
        <v>125.27880799999998</v>
      </c>
      <c r="J30" s="55">
        <f t="shared" si="1"/>
        <v>107915.1652112</v>
      </c>
      <c r="K30" s="6"/>
      <c r="L30" s="7"/>
      <c r="M30" s="6"/>
      <c r="N30" s="6"/>
    </row>
    <row r="31" spans="2:14" s="8" customFormat="1" x14ac:dyDescent="0.25">
      <c r="B31" s="9" t="s">
        <v>142</v>
      </c>
      <c r="C31" s="139" t="s">
        <v>9</v>
      </c>
      <c r="D31" s="139" t="s">
        <v>131</v>
      </c>
      <c r="E31" s="140" t="s">
        <v>132</v>
      </c>
      <c r="F31" s="139" t="s">
        <v>26</v>
      </c>
      <c r="G31" s="149">
        <f>39.5+22</f>
        <v>61.5</v>
      </c>
      <c r="H31" s="141">
        <v>56.99</v>
      </c>
      <c r="I31" s="54">
        <f t="shared" si="0"/>
        <v>69.886837</v>
      </c>
      <c r="J31" s="55">
        <f t="shared" si="1"/>
        <v>4298.0404755</v>
      </c>
      <c r="K31" s="6"/>
      <c r="L31" s="7"/>
      <c r="M31" s="6"/>
      <c r="N31" s="6"/>
    </row>
    <row r="32" spans="2:14" s="8" customFormat="1" ht="25.5" x14ac:dyDescent="0.25">
      <c r="B32" s="9" t="s">
        <v>143</v>
      </c>
      <c r="C32" s="4" t="s">
        <v>9</v>
      </c>
      <c r="D32" s="4" t="s">
        <v>129</v>
      </c>
      <c r="E32" s="5" t="s">
        <v>130</v>
      </c>
      <c r="F32" s="4" t="s">
        <v>26</v>
      </c>
      <c r="G32" s="136">
        <f>40*2+((25)*2)</f>
        <v>130</v>
      </c>
      <c r="H32" s="54">
        <v>55.2</v>
      </c>
      <c r="I32" s="54">
        <f t="shared" si="0"/>
        <v>67.691760000000002</v>
      </c>
      <c r="J32" s="55">
        <f t="shared" si="1"/>
        <v>8799.9287999999997</v>
      </c>
      <c r="K32" s="6"/>
      <c r="L32" s="7"/>
      <c r="M32" s="6"/>
      <c r="N32" s="6"/>
    </row>
    <row r="33" spans="2:14" s="8" customFormat="1" ht="25.5" x14ac:dyDescent="0.25">
      <c r="B33" s="9" t="s">
        <v>144</v>
      </c>
      <c r="C33" s="4" t="s">
        <v>9</v>
      </c>
      <c r="D33" s="4" t="s">
        <v>151</v>
      </c>
      <c r="E33" s="5" t="s">
        <v>152</v>
      </c>
      <c r="F33" s="4" t="s">
        <v>26</v>
      </c>
      <c r="G33" s="136">
        <f>(80+80+50+50+20)</f>
        <v>280</v>
      </c>
      <c r="H33" s="54">
        <v>35.409999999999997</v>
      </c>
      <c r="I33" s="54">
        <f t="shared" si="0"/>
        <v>43.423282999999991</v>
      </c>
      <c r="J33" s="55">
        <f t="shared" si="1"/>
        <v>12158.519239999998</v>
      </c>
      <c r="K33" s="6"/>
      <c r="L33" s="7"/>
      <c r="M33" s="6"/>
      <c r="N33" s="6"/>
    </row>
    <row r="34" spans="2:14" s="8" customFormat="1" ht="25.5" x14ac:dyDescent="0.25">
      <c r="B34" s="9" t="s">
        <v>150</v>
      </c>
      <c r="C34" s="4" t="s">
        <v>9</v>
      </c>
      <c r="D34" s="4" t="s">
        <v>258</v>
      </c>
      <c r="E34" s="5" t="s">
        <v>259</v>
      </c>
      <c r="F34" s="4" t="s">
        <v>26</v>
      </c>
      <c r="G34" s="136">
        <f>((8*2)+(4*2))*8</f>
        <v>192</v>
      </c>
      <c r="H34" s="54">
        <v>88.09</v>
      </c>
      <c r="I34" s="54">
        <f t="shared" si="0"/>
        <v>108.024767</v>
      </c>
      <c r="J34" s="55">
        <f t="shared" si="1"/>
        <v>20740.755263999999</v>
      </c>
      <c r="K34" s="6"/>
      <c r="L34" s="7"/>
      <c r="M34" s="6"/>
      <c r="N34" s="6"/>
    </row>
    <row r="35" spans="2:14" s="8" customFormat="1" ht="51" x14ac:dyDescent="0.25">
      <c r="B35" s="9" t="s">
        <v>240</v>
      </c>
      <c r="C35" s="4" t="s">
        <v>9</v>
      </c>
      <c r="D35" s="4" t="s">
        <v>148</v>
      </c>
      <c r="E35" s="5" t="s">
        <v>155</v>
      </c>
      <c r="F35" s="4" t="s">
        <v>149</v>
      </c>
      <c r="G35" s="136">
        <v>24</v>
      </c>
      <c r="H35" s="54">
        <v>521.62</v>
      </c>
      <c r="I35" s="54">
        <f t="shared" si="0"/>
        <v>639.66260599999998</v>
      </c>
      <c r="J35" s="55">
        <f t="shared" si="1"/>
        <v>15351.902544</v>
      </c>
      <c r="K35" s="6"/>
      <c r="L35" s="7"/>
      <c r="M35" s="6"/>
      <c r="N35" s="6"/>
    </row>
    <row r="36" spans="2:14" s="8" customFormat="1" ht="25.5" x14ac:dyDescent="0.25">
      <c r="B36" s="9" t="s">
        <v>241</v>
      </c>
      <c r="C36" s="4" t="s">
        <v>9</v>
      </c>
      <c r="D36" s="4" t="s">
        <v>219</v>
      </c>
      <c r="E36" s="5" t="s">
        <v>214</v>
      </c>
      <c r="F36" s="4" t="s">
        <v>103</v>
      </c>
      <c r="G36" s="136">
        <f>(80+80+50+50+30+20)*0.6*0.3</f>
        <v>55.8</v>
      </c>
      <c r="H36" s="54">
        <v>67.39</v>
      </c>
      <c r="I36" s="54">
        <f t="shared" si="0"/>
        <v>82.640356999999995</v>
      </c>
      <c r="J36" s="55">
        <f t="shared" si="1"/>
        <v>4611.3319205999996</v>
      </c>
      <c r="K36" s="6"/>
      <c r="L36" s="7"/>
      <c r="M36" s="6"/>
      <c r="N36" s="6"/>
    </row>
    <row r="37" spans="2:14" s="8" customFormat="1" x14ac:dyDescent="0.25">
      <c r="B37" s="9" t="s">
        <v>242</v>
      </c>
      <c r="C37" s="4" t="s">
        <v>9</v>
      </c>
      <c r="D37" s="4" t="s">
        <v>220</v>
      </c>
      <c r="E37" s="5" t="s">
        <v>215</v>
      </c>
      <c r="F37" s="4" t="s">
        <v>25</v>
      </c>
      <c r="G37" s="136">
        <f>(80+80+50+50+30+20)*0.3</f>
        <v>93</v>
      </c>
      <c r="H37" s="54">
        <v>22.72</v>
      </c>
      <c r="I37" s="54">
        <f t="shared" si="0"/>
        <v>27.861535999999997</v>
      </c>
      <c r="J37" s="55">
        <f t="shared" si="1"/>
        <v>2591.122848</v>
      </c>
      <c r="K37" s="6"/>
      <c r="L37" s="7"/>
      <c r="M37" s="6"/>
      <c r="N37" s="6"/>
    </row>
    <row r="38" spans="2:14" s="8" customFormat="1" ht="25.5" x14ac:dyDescent="0.25">
      <c r="B38" s="9" t="s">
        <v>243</v>
      </c>
      <c r="C38" s="4" t="s">
        <v>9</v>
      </c>
      <c r="D38" s="4" t="s">
        <v>221</v>
      </c>
      <c r="E38" s="5" t="s">
        <v>216</v>
      </c>
      <c r="F38" s="4" t="s">
        <v>26</v>
      </c>
      <c r="G38" s="136">
        <v>30</v>
      </c>
      <c r="H38" s="54">
        <v>126.76</v>
      </c>
      <c r="I38" s="54">
        <f t="shared" si="0"/>
        <v>155.44578799999999</v>
      </c>
      <c r="J38" s="55">
        <f t="shared" si="1"/>
        <v>4663.3736399999998</v>
      </c>
      <c r="K38" s="6"/>
      <c r="L38" s="7"/>
      <c r="M38" s="6"/>
      <c r="N38" s="6"/>
    </row>
    <row r="39" spans="2:14" s="8" customFormat="1" ht="25.5" x14ac:dyDescent="0.25">
      <c r="B39" s="9" t="s">
        <v>244</v>
      </c>
      <c r="C39" s="4" t="s">
        <v>9</v>
      </c>
      <c r="D39" s="4" t="s">
        <v>222</v>
      </c>
      <c r="E39" s="5" t="s">
        <v>217</v>
      </c>
      <c r="F39" s="4" t="s">
        <v>103</v>
      </c>
      <c r="G39" s="136">
        <f>(((280*0.3*0.12)-(3.14*0.05*0.05*280))+((30*0.3*0.22)-(3.14*0.1*0.1*30)))</f>
        <v>8.92</v>
      </c>
      <c r="H39" s="54">
        <v>630.79999999999995</v>
      </c>
      <c r="I39" s="54">
        <f t="shared" si="0"/>
        <v>773.55003999999985</v>
      </c>
      <c r="J39" s="55">
        <f t="shared" si="1"/>
        <v>6900.0663567999991</v>
      </c>
      <c r="K39" s="6"/>
      <c r="L39" s="7"/>
      <c r="M39" s="6"/>
      <c r="N39" s="6"/>
    </row>
    <row r="40" spans="2:14" s="8" customFormat="1" ht="25.5" x14ac:dyDescent="0.25">
      <c r="B40" s="9" t="s">
        <v>245</v>
      </c>
      <c r="C40" s="4" t="s">
        <v>9</v>
      </c>
      <c r="D40" s="4" t="s">
        <v>223</v>
      </c>
      <c r="E40" s="5" t="s">
        <v>218</v>
      </c>
      <c r="F40" s="4" t="s">
        <v>103</v>
      </c>
      <c r="G40" s="136">
        <f>G36-G39-(3.14*0.05*0.05*280)-(3.14*0.1*0.1*30)</f>
        <v>43.739999999999995</v>
      </c>
      <c r="H40" s="54">
        <v>67.39</v>
      </c>
      <c r="I40" s="54">
        <f t="shared" si="0"/>
        <v>82.640356999999995</v>
      </c>
      <c r="J40" s="55">
        <f t="shared" si="1"/>
        <v>3614.6892151799993</v>
      </c>
      <c r="K40" s="6"/>
      <c r="L40" s="7"/>
      <c r="M40" s="6"/>
      <c r="N40" s="6"/>
    </row>
    <row r="41" spans="2:14" s="8" customFormat="1" ht="25.5" x14ac:dyDescent="0.25">
      <c r="B41" s="9" t="s">
        <v>260</v>
      </c>
      <c r="C41" s="4" t="s">
        <v>9</v>
      </c>
      <c r="D41" s="4" t="s">
        <v>153</v>
      </c>
      <c r="E41" s="5" t="s">
        <v>154</v>
      </c>
      <c r="F41" s="4" t="s">
        <v>26</v>
      </c>
      <c r="G41" s="136">
        <f>20+14</f>
        <v>34</v>
      </c>
      <c r="H41" s="54">
        <v>50.54</v>
      </c>
      <c r="I41" s="54">
        <f t="shared" si="0"/>
        <v>61.977201999999998</v>
      </c>
      <c r="J41" s="55">
        <f t="shared" si="1"/>
        <v>2107.2248679999998</v>
      </c>
      <c r="K41" s="6"/>
      <c r="L41" s="7"/>
      <c r="M41" s="6"/>
      <c r="N41" s="6"/>
    </row>
    <row r="42" spans="2:14" s="8" customFormat="1" ht="25.5" x14ac:dyDescent="0.25">
      <c r="B42" s="9" t="s">
        <v>261</v>
      </c>
      <c r="C42" s="4" t="s">
        <v>9</v>
      </c>
      <c r="D42" s="4" t="s">
        <v>265</v>
      </c>
      <c r="E42" s="5" t="s">
        <v>266</v>
      </c>
      <c r="F42" s="4" t="s">
        <v>25</v>
      </c>
      <c r="G42" s="136">
        <f>G30</f>
        <v>861.40000000000009</v>
      </c>
      <c r="H42" s="54">
        <v>14.4</v>
      </c>
      <c r="I42" s="54">
        <f t="shared" ref="I42" si="2">H42*(1+J$7)</f>
        <v>17.658719999999999</v>
      </c>
      <c r="J42" s="55">
        <f t="shared" ref="J42" si="3">G42*I42</f>
        <v>15211.221408000001</v>
      </c>
      <c r="K42" s="6"/>
      <c r="L42" s="7"/>
      <c r="M42" s="6"/>
      <c r="N42" s="6"/>
    </row>
    <row r="43" spans="2:14" s="12" customFormat="1" ht="15" customHeight="1" x14ac:dyDescent="0.2">
      <c r="B43" s="220" t="s">
        <v>19</v>
      </c>
      <c r="C43" s="221"/>
      <c r="D43" s="221"/>
      <c r="E43" s="221"/>
      <c r="F43" s="221"/>
      <c r="G43" s="221"/>
      <c r="H43" s="222"/>
      <c r="I43" s="153"/>
      <c r="J43" s="169">
        <f>SUM(J22:J42)</f>
        <v>623716.8067044589</v>
      </c>
      <c r="L43" s="13"/>
    </row>
    <row r="44" spans="2:14" s="12" customFormat="1" ht="22.5" customHeight="1" x14ac:dyDescent="0.2">
      <c r="B44" s="19">
        <v>4</v>
      </c>
      <c r="C44" s="26"/>
      <c r="D44" s="44"/>
      <c r="E44" s="45" t="s">
        <v>224</v>
      </c>
      <c r="F44" s="46"/>
      <c r="G44" s="47"/>
      <c r="H44" s="27"/>
      <c r="I44" s="48"/>
      <c r="J44" s="28"/>
      <c r="K44" s="24"/>
      <c r="L44" s="13"/>
    </row>
    <row r="45" spans="2:14" s="12" customFormat="1" ht="25.5" x14ac:dyDescent="0.2">
      <c r="B45" s="9" t="s">
        <v>246</v>
      </c>
      <c r="C45" s="134" t="s">
        <v>9</v>
      </c>
      <c r="D45" s="134" t="s">
        <v>156</v>
      </c>
      <c r="E45" s="135" t="s">
        <v>157</v>
      </c>
      <c r="F45" s="134" t="s">
        <v>25</v>
      </c>
      <c r="G45" s="136">
        <f>(15*2*2/2)+(7*2*2/2)+(15*2)</f>
        <v>74</v>
      </c>
      <c r="H45" s="137">
        <v>65.900000000000006</v>
      </c>
      <c r="I45" s="137">
        <f t="shared" ref="I45:I47" si="4">H45*(1+J$7)</f>
        <v>80.81317</v>
      </c>
      <c r="J45" s="138">
        <f t="shared" ref="J45:J47" si="5">G45*I45</f>
        <v>5980.1745799999999</v>
      </c>
      <c r="K45" s="24"/>
      <c r="L45" s="13"/>
    </row>
    <row r="46" spans="2:14" s="12" customFormat="1" ht="38.25" x14ac:dyDescent="0.2">
      <c r="B46" s="143" t="s">
        <v>247</v>
      </c>
      <c r="C46" s="134" t="s">
        <v>9</v>
      </c>
      <c r="D46" s="134" t="s">
        <v>160</v>
      </c>
      <c r="E46" s="135" t="s">
        <v>161</v>
      </c>
      <c r="F46" s="134" t="s">
        <v>25</v>
      </c>
      <c r="G46" s="136">
        <f t="shared" ref="G46:G47" si="6">(15*2*2/2)+(7*2*2/2)+(15*2)</f>
        <v>74</v>
      </c>
      <c r="H46" s="137">
        <v>9.19</v>
      </c>
      <c r="I46" s="137">
        <f t="shared" si="4"/>
        <v>11.269696999999999</v>
      </c>
      <c r="J46" s="138">
        <f t="shared" si="5"/>
        <v>833.9575779999999</v>
      </c>
      <c r="K46" s="24"/>
      <c r="L46" s="13"/>
    </row>
    <row r="47" spans="2:14" s="12" customFormat="1" ht="25.5" x14ac:dyDescent="0.2">
      <c r="B47" s="143" t="s">
        <v>248</v>
      </c>
      <c r="C47" s="134" t="s">
        <v>9</v>
      </c>
      <c r="D47" s="134" t="s">
        <v>162</v>
      </c>
      <c r="E47" s="135" t="s">
        <v>163</v>
      </c>
      <c r="F47" s="134" t="s">
        <v>25</v>
      </c>
      <c r="G47" s="136">
        <f t="shared" si="6"/>
        <v>74</v>
      </c>
      <c r="H47" s="137">
        <v>31.05</v>
      </c>
      <c r="I47" s="137">
        <f t="shared" si="4"/>
        <v>38.076614999999997</v>
      </c>
      <c r="J47" s="138">
        <f t="shared" si="5"/>
        <v>2817.6695099999997</v>
      </c>
      <c r="K47" s="24"/>
      <c r="L47" s="13"/>
    </row>
    <row r="48" spans="2:14" s="12" customFormat="1" ht="12.75" x14ac:dyDescent="0.2">
      <c r="B48" s="21"/>
      <c r="C48" s="22"/>
      <c r="D48" s="20"/>
      <c r="E48" s="223" t="s">
        <v>19</v>
      </c>
      <c r="F48" s="221"/>
      <c r="G48" s="221"/>
      <c r="H48" s="222"/>
      <c r="I48" s="153"/>
      <c r="J48" s="169">
        <f>SUM(J45:J47)</f>
        <v>9631.8016680000001</v>
      </c>
      <c r="L48" s="13"/>
    </row>
    <row r="49" spans="2:12" s="12" customFormat="1" ht="22.5" customHeight="1" x14ac:dyDescent="0.2">
      <c r="B49" s="19">
        <v>5</v>
      </c>
      <c r="C49" s="26"/>
      <c r="D49" s="44"/>
      <c r="E49" s="45" t="s">
        <v>104</v>
      </c>
      <c r="F49" s="46"/>
      <c r="G49" s="47"/>
      <c r="H49" s="27"/>
      <c r="I49" s="48"/>
      <c r="J49" s="28"/>
      <c r="L49" s="13"/>
    </row>
    <row r="50" spans="2:12" s="12" customFormat="1" ht="12.75" x14ac:dyDescent="0.2">
      <c r="B50" s="9" t="s">
        <v>249</v>
      </c>
      <c r="C50" s="4" t="s">
        <v>9</v>
      </c>
      <c r="D50" s="4" t="s">
        <v>105</v>
      </c>
      <c r="E50" s="5" t="s">
        <v>106</v>
      </c>
      <c r="F50" s="4" t="s">
        <v>25</v>
      </c>
      <c r="G50" s="136">
        <f>G30*2</f>
        <v>1722.8000000000002</v>
      </c>
      <c r="H50" s="54">
        <v>7.18</v>
      </c>
      <c r="I50" s="54">
        <f t="shared" ref="I50" si="7">H50*(1+J$7)</f>
        <v>8.8048339999999996</v>
      </c>
      <c r="J50" s="55">
        <f t="shared" ref="J50" si="8">G50*I50</f>
        <v>15168.9680152</v>
      </c>
      <c r="K50" s="24"/>
      <c r="L50" s="13"/>
    </row>
    <row r="51" spans="2:12" s="12" customFormat="1" ht="13.5" thickBot="1" x14ac:dyDescent="0.25">
      <c r="B51" s="21"/>
      <c r="C51" s="22"/>
      <c r="D51" s="20"/>
      <c r="E51" s="223" t="s">
        <v>19</v>
      </c>
      <c r="F51" s="221"/>
      <c r="G51" s="221"/>
      <c r="H51" s="222"/>
      <c r="I51" s="153"/>
      <c r="J51" s="169">
        <f>SUM(J50)</f>
        <v>15168.9680152</v>
      </c>
      <c r="K51" s="24"/>
      <c r="L51" s="13"/>
    </row>
    <row r="52" spans="2:12" ht="15.6" customHeight="1" thickTop="1" x14ac:dyDescent="0.25">
      <c r="B52" s="225"/>
      <c r="C52" s="226"/>
      <c r="D52" s="226"/>
      <c r="E52" s="226"/>
      <c r="F52" s="226" t="s">
        <v>27</v>
      </c>
      <c r="G52" s="226"/>
      <c r="H52" s="226"/>
      <c r="I52" s="229"/>
      <c r="J52" s="231">
        <f>SUM(J15,J20,J43,J48,J51)</f>
        <v>704293.48965465883</v>
      </c>
    </row>
    <row r="53" spans="2:12" ht="16.5" thickBot="1" x14ac:dyDescent="0.3">
      <c r="B53" s="227"/>
      <c r="C53" s="228"/>
      <c r="D53" s="228"/>
      <c r="E53" s="228"/>
      <c r="F53" s="228"/>
      <c r="G53" s="228"/>
      <c r="H53" s="228"/>
      <c r="I53" s="230"/>
      <c r="J53" s="232" t="e">
        <f>SUM(J20,J25,J48,#REF!,J52)</f>
        <v>#REF!</v>
      </c>
    </row>
    <row r="54" spans="2:12" ht="16.5" thickTop="1" x14ac:dyDescent="0.25">
      <c r="B54" s="129"/>
      <c r="C54" s="129"/>
      <c r="D54" s="129"/>
      <c r="E54" s="129"/>
      <c r="F54" s="129"/>
      <c r="G54" s="129"/>
      <c r="H54" s="129"/>
      <c r="I54" s="129"/>
      <c r="J54" s="129"/>
    </row>
    <row r="55" spans="2:12" x14ac:dyDescent="0.25">
      <c r="B55" s="129"/>
      <c r="C55" s="129"/>
      <c r="D55" s="129"/>
      <c r="E55" s="129"/>
      <c r="F55" s="129"/>
      <c r="G55" s="129"/>
      <c r="H55" s="129"/>
      <c r="I55" s="129"/>
      <c r="J55" s="129"/>
    </row>
    <row r="58" spans="2:12" x14ac:dyDescent="0.25">
      <c r="E58" s="150"/>
      <c r="F58" s="120"/>
      <c r="G58" s="120"/>
      <c r="I58" s="233" t="s">
        <v>94</v>
      </c>
      <c r="J58" s="233"/>
    </row>
    <row r="59" spans="2:12" ht="30" customHeight="1" x14ac:dyDescent="0.25">
      <c r="E59" s="130"/>
      <c r="F59" s="130"/>
      <c r="G59" s="130"/>
      <c r="I59" s="224" t="s">
        <v>95</v>
      </c>
      <c r="J59" s="224"/>
    </row>
    <row r="60" spans="2:12" ht="25.5" customHeight="1" x14ac:dyDescent="0.25"/>
  </sheetData>
  <mergeCells count="22">
    <mergeCell ref="B43:H43"/>
    <mergeCell ref="E48:H48"/>
    <mergeCell ref="I59:J59"/>
    <mergeCell ref="E51:H51"/>
    <mergeCell ref="B52:E53"/>
    <mergeCell ref="F52:I53"/>
    <mergeCell ref="J52:J53"/>
    <mergeCell ref="I58:J58"/>
    <mergeCell ref="B20:H20"/>
    <mergeCell ref="B2:D3"/>
    <mergeCell ref="E2:J2"/>
    <mergeCell ref="E3:J3"/>
    <mergeCell ref="B4:D4"/>
    <mergeCell ref="F4:I4"/>
    <mergeCell ref="B5:D5"/>
    <mergeCell ref="F5:I6"/>
    <mergeCell ref="J5:J6"/>
    <mergeCell ref="B6:D6"/>
    <mergeCell ref="B7:D7"/>
    <mergeCell ref="F7:G7"/>
    <mergeCell ref="B8:J8"/>
    <mergeCell ref="B15:H15"/>
  </mergeCells>
  <phoneticPr fontId="51" type="noConversion"/>
  <printOptions horizontalCentered="1"/>
  <pageMargins left="0.23622047244094491" right="0.23622047244094491" top="0.39370078740157483" bottom="0.39370078740157483" header="0.31496062992125984" footer="0.31496062992125984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F9345-437C-4AAD-89AC-50904C029D4E}">
  <sheetPr>
    <pageSetUpPr fitToPage="1"/>
  </sheetPr>
  <dimension ref="A1:H35"/>
  <sheetViews>
    <sheetView topLeftCell="A8" workbookViewId="0">
      <selection activeCell="H16" sqref="H16"/>
    </sheetView>
  </sheetViews>
  <sheetFormatPr defaultColWidth="9.140625" defaultRowHeight="12.75" x14ac:dyDescent="0.2"/>
  <cols>
    <col min="1" max="1" width="12.140625" style="103" customWidth="1"/>
    <col min="2" max="2" width="94.85546875" style="103" customWidth="1"/>
    <col min="3" max="4" width="19.5703125" style="111" customWidth="1"/>
    <col min="5" max="5" width="16.7109375" style="111" customWidth="1"/>
    <col min="6" max="6" width="16.7109375" style="103" customWidth="1"/>
    <col min="7" max="7" width="16.85546875" style="103" customWidth="1"/>
    <col min="8" max="8" width="16.7109375" style="103" customWidth="1"/>
    <col min="9" max="256" width="9.140625" style="103"/>
    <col min="257" max="257" width="12.140625" style="103" customWidth="1"/>
    <col min="258" max="258" width="94.85546875" style="103" customWidth="1"/>
    <col min="259" max="260" width="19.5703125" style="103" customWidth="1"/>
    <col min="261" max="262" width="16.7109375" style="103" customWidth="1"/>
    <col min="263" max="263" width="16.85546875" style="103" customWidth="1"/>
    <col min="264" max="264" width="16.7109375" style="103" customWidth="1"/>
    <col min="265" max="512" width="9.140625" style="103"/>
    <col min="513" max="513" width="12.140625" style="103" customWidth="1"/>
    <col min="514" max="514" width="94.85546875" style="103" customWidth="1"/>
    <col min="515" max="516" width="19.5703125" style="103" customWidth="1"/>
    <col min="517" max="518" width="16.7109375" style="103" customWidth="1"/>
    <col min="519" max="519" width="16.85546875" style="103" customWidth="1"/>
    <col min="520" max="520" width="16.7109375" style="103" customWidth="1"/>
    <col min="521" max="768" width="9.140625" style="103"/>
    <col min="769" max="769" width="12.140625" style="103" customWidth="1"/>
    <col min="770" max="770" width="94.85546875" style="103" customWidth="1"/>
    <col min="771" max="772" width="19.5703125" style="103" customWidth="1"/>
    <col min="773" max="774" width="16.7109375" style="103" customWidth="1"/>
    <col min="775" max="775" width="16.85546875" style="103" customWidth="1"/>
    <col min="776" max="776" width="16.7109375" style="103" customWidth="1"/>
    <col min="777" max="1024" width="9.140625" style="103"/>
    <col min="1025" max="1025" width="12.140625" style="103" customWidth="1"/>
    <col min="1026" max="1026" width="94.85546875" style="103" customWidth="1"/>
    <col min="1027" max="1028" width="19.5703125" style="103" customWidth="1"/>
    <col min="1029" max="1030" width="16.7109375" style="103" customWidth="1"/>
    <col min="1031" max="1031" width="16.85546875" style="103" customWidth="1"/>
    <col min="1032" max="1032" width="16.7109375" style="103" customWidth="1"/>
    <col min="1033" max="1280" width="9.140625" style="103"/>
    <col min="1281" max="1281" width="12.140625" style="103" customWidth="1"/>
    <col min="1282" max="1282" width="94.85546875" style="103" customWidth="1"/>
    <col min="1283" max="1284" width="19.5703125" style="103" customWidth="1"/>
    <col min="1285" max="1286" width="16.7109375" style="103" customWidth="1"/>
    <col min="1287" max="1287" width="16.85546875" style="103" customWidth="1"/>
    <col min="1288" max="1288" width="16.7109375" style="103" customWidth="1"/>
    <col min="1289" max="1536" width="9.140625" style="103"/>
    <col min="1537" max="1537" width="12.140625" style="103" customWidth="1"/>
    <col min="1538" max="1538" width="94.85546875" style="103" customWidth="1"/>
    <col min="1539" max="1540" width="19.5703125" style="103" customWidth="1"/>
    <col min="1541" max="1542" width="16.7109375" style="103" customWidth="1"/>
    <col min="1543" max="1543" width="16.85546875" style="103" customWidth="1"/>
    <col min="1544" max="1544" width="16.7109375" style="103" customWidth="1"/>
    <col min="1545" max="1792" width="9.140625" style="103"/>
    <col min="1793" max="1793" width="12.140625" style="103" customWidth="1"/>
    <col min="1794" max="1794" width="94.85546875" style="103" customWidth="1"/>
    <col min="1795" max="1796" width="19.5703125" style="103" customWidth="1"/>
    <col min="1797" max="1798" width="16.7109375" style="103" customWidth="1"/>
    <col min="1799" max="1799" width="16.85546875" style="103" customWidth="1"/>
    <col min="1800" max="1800" width="16.7109375" style="103" customWidth="1"/>
    <col min="1801" max="2048" width="9.140625" style="103"/>
    <col min="2049" max="2049" width="12.140625" style="103" customWidth="1"/>
    <col min="2050" max="2050" width="94.85546875" style="103" customWidth="1"/>
    <col min="2051" max="2052" width="19.5703125" style="103" customWidth="1"/>
    <col min="2053" max="2054" width="16.7109375" style="103" customWidth="1"/>
    <col min="2055" max="2055" width="16.85546875" style="103" customWidth="1"/>
    <col min="2056" max="2056" width="16.7109375" style="103" customWidth="1"/>
    <col min="2057" max="2304" width="9.140625" style="103"/>
    <col min="2305" max="2305" width="12.140625" style="103" customWidth="1"/>
    <col min="2306" max="2306" width="94.85546875" style="103" customWidth="1"/>
    <col min="2307" max="2308" width="19.5703125" style="103" customWidth="1"/>
    <col min="2309" max="2310" width="16.7109375" style="103" customWidth="1"/>
    <col min="2311" max="2311" width="16.85546875" style="103" customWidth="1"/>
    <col min="2312" max="2312" width="16.7109375" style="103" customWidth="1"/>
    <col min="2313" max="2560" width="9.140625" style="103"/>
    <col min="2561" max="2561" width="12.140625" style="103" customWidth="1"/>
    <col min="2562" max="2562" width="94.85546875" style="103" customWidth="1"/>
    <col min="2563" max="2564" width="19.5703125" style="103" customWidth="1"/>
    <col min="2565" max="2566" width="16.7109375" style="103" customWidth="1"/>
    <col min="2567" max="2567" width="16.85546875" style="103" customWidth="1"/>
    <col min="2568" max="2568" width="16.7109375" style="103" customWidth="1"/>
    <col min="2569" max="2816" width="9.140625" style="103"/>
    <col min="2817" max="2817" width="12.140625" style="103" customWidth="1"/>
    <col min="2818" max="2818" width="94.85546875" style="103" customWidth="1"/>
    <col min="2819" max="2820" width="19.5703125" style="103" customWidth="1"/>
    <col min="2821" max="2822" width="16.7109375" style="103" customWidth="1"/>
    <col min="2823" max="2823" width="16.85546875" style="103" customWidth="1"/>
    <col min="2824" max="2824" width="16.7109375" style="103" customWidth="1"/>
    <col min="2825" max="3072" width="9.140625" style="103"/>
    <col min="3073" max="3073" width="12.140625" style="103" customWidth="1"/>
    <col min="3074" max="3074" width="94.85546875" style="103" customWidth="1"/>
    <col min="3075" max="3076" width="19.5703125" style="103" customWidth="1"/>
    <col min="3077" max="3078" width="16.7109375" style="103" customWidth="1"/>
    <col min="3079" max="3079" width="16.85546875" style="103" customWidth="1"/>
    <col min="3080" max="3080" width="16.7109375" style="103" customWidth="1"/>
    <col min="3081" max="3328" width="9.140625" style="103"/>
    <col min="3329" max="3329" width="12.140625" style="103" customWidth="1"/>
    <col min="3330" max="3330" width="94.85546875" style="103" customWidth="1"/>
    <col min="3331" max="3332" width="19.5703125" style="103" customWidth="1"/>
    <col min="3333" max="3334" width="16.7109375" style="103" customWidth="1"/>
    <col min="3335" max="3335" width="16.85546875" style="103" customWidth="1"/>
    <col min="3336" max="3336" width="16.7109375" style="103" customWidth="1"/>
    <col min="3337" max="3584" width="9.140625" style="103"/>
    <col min="3585" max="3585" width="12.140625" style="103" customWidth="1"/>
    <col min="3586" max="3586" width="94.85546875" style="103" customWidth="1"/>
    <col min="3587" max="3588" width="19.5703125" style="103" customWidth="1"/>
    <col min="3589" max="3590" width="16.7109375" style="103" customWidth="1"/>
    <col min="3591" max="3591" width="16.85546875" style="103" customWidth="1"/>
    <col min="3592" max="3592" width="16.7109375" style="103" customWidth="1"/>
    <col min="3593" max="3840" width="9.140625" style="103"/>
    <col min="3841" max="3841" width="12.140625" style="103" customWidth="1"/>
    <col min="3842" max="3842" width="94.85546875" style="103" customWidth="1"/>
    <col min="3843" max="3844" width="19.5703125" style="103" customWidth="1"/>
    <col min="3845" max="3846" width="16.7109375" style="103" customWidth="1"/>
    <col min="3847" max="3847" width="16.85546875" style="103" customWidth="1"/>
    <col min="3848" max="3848" width="16.7109375" style="103" customWidth="1"/>
    <col min="3849" max="4096" width="9.140625" style="103"/>
    <col min="4097" max="4097" width="12.140625" style="103" customWidth="1"/>
    <col min="4098" max="4098" width="94.85546875" style="103" customWidth="1"/>
    <col min="4099" max="4100" width="19.5703125" style="103" customWidth="1"/>
    <col min="4101" max="4102" width="16.7109375" style="103" customWidth="1"/>
    <col min="4103" max="4103" width="16.85546875" style="103" customWidth="1"/>
    <col min="4104" max="4104" width="16.7109375" style="103" customWidth="1"/>
    <col min="4105" max="4352" width="9.140625" style="103"/>
    <col min="4353" max="4353" width="12.140625" style="103" customWidth="1"/>
    <col min="4354" max="4354" width="94.85546875" style="103" customWidth="1"/>
    <col min="4355" max="4356" width="19.5703125" style="103" customWidth="1"/>
    <col min="4357" max="4358" width="16.7109375" style="103" customWidth="1"/>
    <col min="4359" max="4359" width="16.85546875" style="103" customWidth="1"/>
    <col min="4360" max="4360" width="16.7109375" style="103" customWidth="1"/>
    <col min="4361" max="4608" width="9.140625" style="103"/>
    <col min="4609" max="4609" width="12.140625" style="103" customWidth="1"/>
    <col min="4610" max="4610" width="94.85546875" style="103" customWidth="1"/>
    <col min="4611" max="4612" width="19.5703125" style="103" customWidth="1"/>
    <col min="4613" max="4614" width="16.7109375" style="103" customWidth="1"/>
    <col min="4615" max="4615" width="16.85546875" style="103" customWidth="1"/>
    <col min="4616" max="4616" width="16.7109375" style="103" customWidth="1"/>
    <col min="4617" max="4864" width="9.140625" style="103"/>
    <col min="4865" max="4865" width="12.140625" style="103" customWidth="1"/>
    <col min="4866" max="4866" width="94.85546875" style="103" customWidth="1"/>
    <col min="4867" max="4868" width="19.5703125" style="103" customWidth="1"/>
    <col min="4869" max="4870" width="16.7109375" style="103" customWidth="1"/>
    <col min="4871" max="4871" width="16.85546875" style="103" customWidth="1"/>
    <col min="4872" max="4872" width="16.7109375" style="103" customWidth="1"/>
    <col min="4873" max="5120" width="9.140625" style="103"/>
    <col min="5121" max="5121" width="12.140625" style="103" customWidth="1"/>
    <col min="5122" max="5122" width="94.85546875" style="103" customWidth="1"/>
    <col min="5123" max="5124" width="19.5703125" style="103" customWidth="1"/>
    <col min="5125" max="5126" width="16.7109375" style="103" customWidth="1"/>
    <col min="5127" max="5127" width="16.85546875" style="103" customWidth="1"/>
    <col min="5128" max="5128" width="16.7109375" style="103" customWidth="1"/>
    <col min="5129" max="5376" width="9.140625" style="103"/>
    <col min="5377" max="5377" width="12.140625" style="103" customWidth="1"/>
    <col min="5378" max="5378" width="94.85546875" style="103" customWidth="1"/>
    <col min="5379" max="5380" width="19.5703125" style="103" customWidth="1"/>
    <col min="5381" max="5382" width="16.7109375" style="103" customWidth="1"/>
    <col min="5383" max="5383" width="16.85546875" style="103" customWidth="1"/>
    <col min="5384" max="5384" width="16.7109375" style="103" customWidth="1"/>
    <col min="5385" max="5632" width="9.140625" style="103"/>
    <col min="5633" max="5633" width="12.140625" style="103" customWidth="1"/>
    <col min="5634" max="5634" width="94.85546875" style="103" customWidth="1"/>
    <col min="5635" max="5636" width="19.5703125" style="103" customWidth="1"/>
    <col min="5637" max="5638" width="16.7109375" style="103" customWidth="1"/>
    <col min="5639" max="5639" width="16.85546875" style="103" customWidth="1"/>
    <col min="5640" max="5640" width="16.7109375" style="103" customWidth="1"/>
    <col min="5641" max="5888" width="9.140625" style="103"/>
    <col min="5889" max="5889" width="12.140625" style="103" customWidth="1"/>
    <col min="5890" max="5890" width="94.85546875" style="103" customWidth="1"/>
    <col min="5891" max="5892" width="19.5703125" style="103" customWidth="1"/>
    <col min="5893" max="5894" width="16.7109375" style="103" customWidth="1"/>
    <col min="5895" max="5895" width="16.85546875" style="103" customWidth="1"/>
    <col min="5896" max="5896" width="16.7109375" style="103" customWidth="1"/>
    <col min="5897" max="6144" width="9.140625" style="103"/>
    <col min="6145" max="6145" width="12.140625" style="103" customWidth="1"/>
    <col min="6146" max="6146" width="94.85546875" style="103" customWidth="1"/>
    <col min="6147" max="6148" width="19.5703125" style="103" customWidth="1"/>
    <col min="6149" max="6150" width="16.7109375" style="103" customWidth="1"/>
    <col min="6151" max="6151" width="16.85546875" style="103" customWidth="1"/>
    <col min="6152" max="6152" width="16.7109375" style="103" customWidth="1"/>
    <col min="6153" max="6400" width="9.140625" style="103"/>
    <col min="6401" max="6401" width="12.140625" style="103" customWidth="1"/>
    <col min="6402" max="6402" width="94.85546875" style="103" customWidth="1"/>
    <col min="6403" max="6404" width="19.5703125" style="103" customWidth="1"/>
    <col min="6405" max="6406" width="16.7109375" style="103" customWidth="1"/>
    <col min="6407" max="6407" width="16.85546875" style="103" customWidth="1"/>
    <col min="6408" max="6408" width="16.7109375" style="103" customWidth="1"/>
    <col min="6409" max="6656" width="9.140625" style="103"/>
    <col min="6657" max="6657" width="12.140625" style="103" customWidth="1"/>
    <col min="6658" max="6658" width="94.85546875" style="103" customWidth="1"/>
    <col min="6659" max="6660" width="19.5703125" style="103" customWidth="1"/>
    <col min="6661" max="6662" width="16.7109375" style="103" customWidth="1"/>
    <col min="6663" max="6663" width="16.85546875" style="103" customWidth="1"/>
    <col min="6664" max="6664" width="16.7109375" style="103" customWidth="1"/>
    <col min="6665" max="6912" width="9.140625" style="103"/>
    <col min="6913" max="6913" width="12.140625" style="103" customWidth="1"/>
    <col min="6914" max="6914" width="94.85546875" style="103" customWidth="1"/>
    <col min="6915" max="6916" width="19.5703125" style="103" customWidth="1"/>
    <col min="6917" max="6918" width="16.7109375" style="103" customWidth="1"/>
    <col min="6919" max="6919" width="16.85546875" style="103" customWidth="1"/>
    <col min="6920" max="6920" width="16.7109375" style="103" customWidth="1"/>
    <col min="6921" max="7168" width="9.140625" style="103"/>
    <col min="7169" max="7169" width="12.140625" style="103" customWidth="1"/>
    <col min="7170" max="7170" width="94.85546875" style="103" customWidth="1"/>
    <col min="7171" max="7172" width="19.5703125" style="103" customWidth="1"/>
    <col min="7173" max="7174" width="16.7109375" style="103" customWidth="1"/>
    <col min="7175" max="7175" width="16.85546875" style="103" customWidth="1"/>
    <col min="7176" max="7176" width="16.7109375" style="103" customWidth="1"/>
    <col min="7177" max="7424" width="9.140625" style="103"/>
    <col min="7425" max="7425" width="12.140625" style="103" customWidth="1"/>
    <col min="7426" max="7426" width="94.85546875" style="103" customWidth="1"/>
    <col min="7427" max="7428" width="19.5703125" style="103" customWidth="1"/>
    <col min="7429" max="7430" width="16.7109375" style="103" customWidth="1"/>
    <col min="7431" max="7431" width="16.85546875" style="103" customWidth="1"/>
    <col min="7432" max="7432" width="16.7109375" style="103" customWidth="1"/>
    <col min="7433" max="7680" width="9.140625" style="103"/>
    <col min="7681" max="7681" width="12.140625" style="103" customWidth="1"/>
    <col min="7682" max="7682" width="94.85546875" style="103" customWidth="1"/>
    <col min="7683" max="7684" width="19.5703125" style="103" customWidth="1"/>
    <col min="7685" max="7686" width="16.7109375" style="103" customWidth="1"/>
    <col min="7687" max="7687" width="16.85546875" style="103" customWidth="1"/>
    <col min="7688" max="7688" width="16.7109375" style="103" customWidth="1"/>
    <col min="7689" max="7936" width="9.140625" style="103"/>
    <col min="7937" max="7937" width="12.140625" style="103" customWidth="1"/>
    <col min="7938" max="7938" width="94.85546875" style="103" customWidth="1"/>
    <col min="7939" max="7940" width="19.5703125" style="103" customWidth="1"/>
    <col min="7941" max="7942" width="16.7109375" style="103" customWidth="1"/>
    <col min="7943" max="7943" width="16.85546875" style="103" customWidth="1"/>
    <col min="7944" max="7944" width="16.7109375" style="103" customWidth="1"/>
    <col min="7945" max="8192" width="9.140625" style="103"/>
    <col min="8193" max="8193" width="12.140625" style="103" customWidth="1"/>
    <col min="8194" max="8194" width="94.85546875" style="103" customWidth="1"/>
    <col min="8195" max="8196" width="19.5703125" style="103" customWidth="1"/>
    <col min="8197" max="8198" width="16.7109375" style="103" customWidth="1"/>
    <col min="8199" max="8199" width="16.85546875" style="103" customWidth="1"/>
    <col min="8200" max="8200" width="16.7109375" style="103" customWidth="1"/>
    <col min="8201" max="8448" width="9.140625" style="103"/>
    <col min="8449" max="8449" width="12.140625" style="103" customWidth="1"/>
    <col min="8450" max="8450" width="94.85546875" style="103" customWidth="1"/>
    <col min="8451" max="8452" width="19.5703125" style="103" customWidth="1"/>
    <col min="8453" max="8454" width="16.7109375" style="103" customWidth="1"/>
    <col min="8455" max="8455" width="16.85546875" style="103" customWidth="1"/>
    <col min="8456" max="8456" width="16.7109375" style="103" customWidth="1"/>
    <col min="8457" max="8704" width="9.140625" style="103"/>
    <col min="8705" max="8705" width="12.140625" style="103" customWidth="1"/>
    <col min="8706" max="8706" width="94.85546875" style="103" customWidth="1"/>
    <col min="8707" max="8708" width="19.5703125" style="103" customWidth="1"/>
    <col min="8709" max="8710" width="16.7109375" style="103" customWidth="1"/>
    <col min="8711" max="8711" width="16.85546875" style="103" customWidth="1"/>
    <col min="8712" max="8712" width="16.7109375" style="103" customWidth="1"/>
    <col min="8713" max="8960" width="9.140625" style="103"/>
    <col min="8961" max="8961" width="12.140625" style="103" customWidth="1"/>
    <col min="8962" max="8962" width="94.85546875" style="103" customWidth="1"/>
    <col min="8963" max="8964" width="19.5703125" style="103" customWidth="1"/>
    <col min="8965" max="8966" width="16.7109375" style="103" customWidth="1"/>
    <col min="8967" max="8967" width="16.85546875" style="103" customWidth="1"/>
    <col min="8968" max="8968" width="16.7109375" style="103" customWidth="1"/>
    <col min="8969" max="9216" width="9.140625" style="103"/>
    <col min="9217" max="9217" width="12.140625" style="103" customWidth="1"/>
    <col min="9218" max="9218" width="94.85546875" style="103" customWidth="1"/>
    <col min="9219" max="9220" width="19.5703125" style="103" customWidth="1"/>
    <col min="9221" max="9222" width="16.7109375" style="103" customWidth="1"/>
    <col min="9223" max="9223" width="16.85546875" style="103" customWidth="1"/>
    <col min="9224" max="9224" width="16.7109375" style="103" customWidth="1"/>
    <col min="9225" max="9472" width="9.140625" style="103"/>
    <col min="9473" max="9473" width="12.140625" style="103" customWidth="1"/>
    <col min="9474" max="9474" width="94.85546875" style="103" customWidth="1"/>
    <col min="9475" max="9476" width="19.5703125" style="103" customWidth="1"/>
    <col min="9477" max="9478" width="16.7109375" style="103" customWidth="1"/>
    <col min="9479" max="9479" width="16.85546875" style="103" customWidth="1"/>
    <col min="9480" max="9480" width="16.7109375" style="103" customWidth="1"/>
    <col min="9481" max="9728" width="9.140625" style="103"/>
    <col min="9729" max="9729" width="12.140625" style="103" customWidth="1"/>
    <col min="9730" max="9730" width="94.85546875" style="103" customWidth="1"/>
    <col min="9731" max="9732" width="19.5703125" style="103" customWidth="1"/>
    <col min="9733" max="9734" width="16.7109375" style="103" customWidth="1"/>
    <col min="9735" max="9735" width="16.85546875" style="103" customWidth="1"/>
    <col min="9736" max="9736" width="16.7109375" style="103" customWidth="1"/>
    <col min="9737" max="9984" width="9.140625" style="103"/>
    <col min="9985" max="9985" width="12.140625" style="103" customWidth="1"/>
    <col min="9986" max="9986" width="94.85546875" style="103" customWidth="1"/>
    <col min="9987" max="9988" width="19.5703125" style="103" customWidth="1"/>
    <col min="9989" max="9990" width="16.7109375" style="103" customWidth="1"/>
    <col min="9991" max="9991" width="16.85546875" style="103" customWidth="1"/>
    <col min="9992" max="9992" width="16.7109375" style="103" customWidth="1"/>
    <col min="9993" max="10240" width="9.140625" style="103"/>
    <col min="10241" max="10241" width="12.140625" style="103" customWidth="1"/>
    <col min="10242" max="10242" width="94.85546875" style="103" customWidth="1"/>
    <col min="10243" max="10244" width="19.5703125" style="103" customWidth="1"/>
    <col min="10245" max="10246" width="16.7109375" style="103" customWidth="1"/>
    <col min="10247" max="10247" width="16.85546875" style="103" customWidth="1"/>
    <col min="10248" max="10248" width="16.7109375" style="103" customWidth="1"/>
    <col min="10249" max="10496" width="9.140625" style="103"/>
    <col min="10497" max="10497" width="12.140625" style="103" customWidth="1"/>
    <col min="10498" max="10498" width="94.85546875" style="103" customWidth="1"/>
    <col min="10499" max="10500" width="19.5703125" style="103" customWidth="1"/>
    <col min="10501" max="10502" width="16.7109375" style="103" customWidth="1"/>
    <col min="10503" max="10503" width="16.85546875" style="103" customWidth="1"/>
    <col min="10504" max="10504" width="16.7109375" style="103" customWidth="1"/>
    <col min="10505" max="10752" width="9.140625" style="103"/>
    <col min="10753" max="10753" width="12.140625" style="103" customWidth="1"/>
    <col min="10754" max="10754" width="94.85546875" style="103" customWidth="1"/>
    <col min="10755" max="10756" width="19.5703125" style="103" customWidth="1"/>
    <col min="10757" max="10758" width="16.7109375" style="103" customWidth="1"/>
    <col min="10759" max="10759" width="16.85546875" style="103" customWidth="1"/>
    <col min="10760" max="10760" width="16.7109375" style="103" customWidth="1"/>
    <col min="10761" max="11008" width="9.140625" style="103"/>
    <col min="11009" max="11009" width="12.140625" style="103" customWidth="1"/>
    <col min="11010" max="11010" width="94.85546875" style="103" customWidth="1"/>
    <col min="11011" max="11012" width="19.5703125" style="103" customWidth="1"/>
    <col min="11013" max="11014" width="16.7109375" style="103" customWidth="1"/>
    <col min="11015" max="11015" width="16.85546875" style="103" customWidth="1"/>
    <col min="11016" max="11016" width="16.7109375" style="103" customWidth="1"/>
    <col min="11017" max="11264" width="9.140625" style="103"/>
    <col min="11265" max="11265" width="12.140625" style="103" customWidth="1"/>
    <col min="11266" max="11266" width="94.85546875" style="103" customWidth="1"/>
    <col min="11267" max="11268" width="19.5703125" style="103" customWidth="1"/>
    <col min="11269" max="11270" width="16.7109375" style="103" customWidth="1"/>
    <col min="11271" max="11271" width="16.85546875" style="103" customWidth="1"/>
    <col min="11272" max="11272" width="16.7109375" style="103" customWidth="1"/>
    <col min="11273" max="11520" width="9.140625" style="103"/>
    <col min="11521" max="11521" width="12.140625" style="103" customWidth="1"/>
    <col min="11522" max="11522" width="94.85546875" style="103" customWidth="1"/>
    <col min="11523" max="11524" width="19.5703125" style="103" customWidth="1"/>
    <col min="11525" max="11526" width="16.7109375" style="103" customWidth="1"/>
    <col min="11527" max="11527" width="16.85546875" style="103" customWidth="1"/>
    <col min="11528" max="11528" width="16.7109375" style="103" customWidth="1"/>
    <col min="11529" max="11776" width="9.140625" style="103"/>
    <col min="11777" max="11777" width="12.140625" style="103" customWidth="1"/>
    <col min="11778" max="11778" width="94.85546875" style="103" customWidth="1"/>
    <col min="11779" max="11780" width="19.5703125" style="103" customWidth="1"/>
    <col min="11781" max="11782" width="16.7109375" style="103" customWidth="1"/>
    <col min="11783" max="11783" width="16.85546875" style="103" customWidth="1"/>
    <col min="11784" max="11784" width="16.7109375" style="103" customWidth="1"/>
    <col min="11785" max="12032" width="9.140625" style="103"/>
    <col min="12033" max="12033" width="12.140625" style="103" customWidth="1"/>
    <col min="12034" max="12034" width="94.85546875" style="103" customWidth="1"/>
    <col min="12035" max="12036" width="19.5703125" style="103" customWidth="1"/>
    <col min="12037" max="12038" width="16.7109375" style="103" customWidth="1"/>
    <col min="12039" max="12039" width="16.85546875" style="103" customWidth="1"/>
    <col min="12040" max="12040" width="16.7109375" style="103" customWidth="1"/>
    <col min="12041" max="12288" width="9.140625" style="103"/>
    <col min="12289" max="12289" width="12.140625" style="103" customWidth="1"/>
    <col min="12290" max="12290" width="94.85546875" style="103" customWidth="1"/>
    <col min="12291" max="12292" width="19.5703125" style="103" customWidth="1"/>
    <col min="12293" max="12294" width="16.7109375" style="103" customWidth="1"/>
    <col min="12295" max="12295" width="16.85546875" style="103" customWidth="1"/>
    <col min="12296" max="12296" width="16.7109375" style="103" customWidth="1"/>
    <col min="12297" max="12544" width="9.140625" style="103"/>
    <col min="12545" max="12545" width="12.140625" style="103" customWidth="1"/>
    <col min="12546" max="12546" width="94.85546875" style="103" customWidth="1"/>
    <col min="12547" max="12548" width="19.5703125" style="103" customWidth="1"/>
    <col min="12549" max="12550" width="16.7109375" style="103" customWidth="1"/>
    <col min="12551" max="12551" width="16.85546875" style="103" customWidth="1"/>
    <col min="12552" max="12552" width="16.7109375" style="103" customWidth="1"/>
    <col min="12553" max="12800" width="9.140625" style="103"/>
    <col min="12801" max="12801" width="12.140625" style="103" customWidth="1"/>
    <col min="12802" max="12802" width="94.85546875" style="103" customWidth="1"/>
    <col min="12803" max="12804" width="19.5703125" style="103" customWidth="1"/>
    <col min="12805" max="12806" width="16.7109375" style="103" customWidth="1"/>
    <col min="12807" max="12807" width="16.85546875" style="103" customWidth="1"/>
    <col min="12808" max="12808" width="16.7109375" style="103" customWidth="1"/>
    <col min="12809" max="13056" width="9.140625" style="103"/>
    <col min="13057" max="13057" width="12.140625" style="103" customWidth="1"/>
    <col min="13058" max="13058" width="94.85546875" style="103" customWidth="1"/>
    <col min="13059" max="13060" width="19.5703125" style="103" customWidth="1"/>
    <col min="13061" max="13062" width="16.7109375" style="103" customWidth="1"/>
    <col min="13063" max="13063" width="16.85546875" style="103" customWidth="1"/>
    <col min="13064" max="13064" width="16.7109375" style="103" customWidth="1"/>
    <col min="13065" max="13312" width="9.140625" style="103"/>
    <col min="13313" max="13313" width="12.140625" style="103" customWidth="1"/>
    <col min="13314" max="13314" width="94.85546875" style="103" customWidth="1"/>
    <col min="13315" max="13316" width="19.5703125" style="103" customWidth="1"/>
    <col min="13317" max="13318" width="16.7109375" style="103" customWidth="1"/>
    <col min="13319" max="13319" width="16.85546875" style="103" customWidth="1"/>
    <col min="13320" max="13320" width="16.7109375" style="103" customWidth="1"/>
    <col min="13321" max="13568" width="9.140625" style="103"/>
    <col min="13569" max="13569" width="12.140625" style="103" customWidth="1"/>
    <col min="13570" max="13570" width="94.85546875" style="103" customWidth="1"/>
    <col min="13571" max="13572" width="19.5703125" style="103" customWidth="1"/>
    <col min="13573" max="13574" width="16.7109375" style="103" customWidth="1"/>
    <col min="13575" max="13575" width="16.85546875" style="103" customWidth="1"/>
    <col min="13576" max="13576" width="16.7109375" style="103" customWidth="1"/>
    <col min="13577" max="13824" width="9.140625" style="103"/>
    <col min="13825" max="13825" width="12.140625" style="103" customWidth="1"/>
    <col min="13826" max="13826" width="94.85546875" style="103" customWidth="1"/>
    <col min="13827" max="13828" width="19.5703125" style="103" customWidth="1"/>
    <col min="13829" max="13830" width="16.7109375" style="103" customWidth="1"/>
    <col min="13831" max="13831" width="16.85546875" style="103" customWidth="1"/>
    <col min="13832" max="13832" width="16.7109375" style="103" customWidth="1"/>
    <col min="13833" max="14080" width="9.140625" style="103"/>
    <col min="14081" max="14081" width="12.140625" style="103" customWidth="1"/>
    <col min="14082" max="14082" width="94.85546875" style="103" customWidth="1"/>
    <col min="14083" max="14084" width="19.5703125" style="103" customWidth="1"/>
    <col min="14085" max="14086" width="16.7109375" style="103" customWidth="1"/>
    <col min="14087" max="14087" width="16.85546875" style="103" customWidth="1"/>
    <col min="14088" max="14088" width="16.7109375" style="103" customWidth="1"/>
    <col min="14089" max="14336" width="9.140625" style="103"/>
    <col min="14337" max="14337" width="12.140625" style="103" customWidth="1"/>
    <col min="14338" max="14338" width="94.85546875" style="103" customWidth="1"/>
    <col min="14339" max="14340" width="19.5703125" style="103" customWidth="1"/>
    <col min="14341" max="14342" width="16.7109375" style="103" customWidth="1"/>
    <col min="14343" max="14343" width="16.85546875" style="103" customWidth="1"/>
    <col min="14344" max="14344" width="16.7109375" style="103" customWidth="1"/>
    <col min="14345" max="14592" width="9.140625" style="103"/>
    <col min="14593" max="14593" width="12.140625" style="103" customWidth="1"/>
    <col min="14594" max="14594" width="94.85546875" style="103" customWidth="1"/>
    <col min="14595" max="14596" width="19.5703125" style="103" customWidth="1"/>
    <col min="14597" max="14598" width="16.7109375" style="103" customWidth="1"/>
    <col min="14599" max="14599" width="16.85546875" style="103" customWidth="1"/>
    <col min="14600" max="14600" width="16.7109375" style="103" customWidth="1"/>
    <col min="14601" max="14848" width="9.140625" style="103"/>
    <col min="14849" max="14849" width="12.140625" style="103" customWidth="1"/>
    <col min="14850" max="14850" width="94.85546875" style="103" customWidth="1"/>
    <col min="14851" max="14852" width="19.5703125" style="103" customWidth="1"/>
    <col min="14853" max="14854" width="16.7109375" style="103" customWidth="1"/>
    <col min="14855" max="14855" width="16.85546875" style="103" customWidth="1"/>
    <col min="14856" max="14856" width="16.7109375" style="103" customWidth="1"/>
    <col min="14857" max="15104" width="9.140625" style="103"/>
    <col min="15105" max="15105" width="12.140625" style="103" customWidth="1"/>
    <col min="15106" max="15106" width="94.85546875" style="103" customWidth="1"/>
    <col min="15107" max="15108" width="19.5703125" style="103" customWidth="1"/>
    <col min="15109" max="15110" width="16.7109375" style="103" customWidth="1"/>
    <col min="15111" max="15111" width="16.85546875" style="103" customWidth="1"/>
    <col min="15112" max="15112" width="16.7109375" style="103" customWidth="1"/>
    <col min="15113" max="15360" width="9.140625" style="103"/>
    <col min="15361" max="15361" width="12.140625" style="103" customWidth="1"/>
    <col min="15362" max="15362" width="94.85546875" style="103" customWidth="1"/>
    <col min="15363" max="15364" width="19.5703125" style="103" customWidth="1"/>
    <col min="15365" max="15366" width="16.7109375" style="103" customWidth="1"/>
    <col min="15367" max="15367" width="16.85546875" style="103" customWidth="1"/>
    <col min="15368" max="15368" width="16.7109375" style="103" customWidth="1"/>
    <col min="15369" max="15616" width="9.140625" style="103"/>
    <col min="15617" max="15617" width="12.140625" style="103" customWidth="1"/>
    <col min="15618" max="15618" width="94.85546875" style="103" customWidth="1"/>
    <col min="15619" max="15620" width="19.5703125" style="103" customWidth="1"/>
    <col min="15621" max="15622" width="16.7109375" style="103" customWidth="1"/>
    <col min="15623" max="15623" width="16.85546875" style="103" customWidth="1"/>
    <col min="15624" max="15624" width="16.7109375" style="103" customWidth="1"/>
    <col min="15625" max="15872" width="9.140625" style="103"/>
    <col min="15873" max="15873" width="12.140625" style="103" customWidth="1"/>
    <col min="15874" max="15874" width="94.85546875" style="103" customWidth="1"/>
    <col min="15875" max="15876" width="19.5703125" style="103" customWidth="1"/>
    <col min="15877" max="15878" width="16.7109375" style="103" customWidth="1"/>
    <col min="15879" max="15879" width="16.85546875" style="103" customWidth="1"/>
    <col min="15880" max="15880" width="16.7109375" style="103" customWidth="1"/>
    <col min="15881" max="16128" width="9.140625" style="103"/>
    <col min="16129" max="16129" width="12.140625" style="103" customWidth="1"/>
    <col min="16130" max="16130" width="94.85546875" style="103" customWidth="1"/>
    <col min="16131" max="16132" width="19.5703125" style="103" customWidth="1"/>
    <col min="16133" max="16134" width="16.7109375" style="103" customWidth="1"/>
    <col min="16135" max="16135" width="16.85546875" style="103" customWidth="1"/>
    <col min="16136" max="16136" width="16.7109375" style="103" customWidth="1"/>
    <col min="16137" max="16384" width="9.140625" style="103"/>
  </cols>
  <sheetData>
    <row r="1" spans="1:8" ht="21.75" customHeight="1" x14ac:dyDescent="0.2">
      <c r="A1" s="234" t="s">
        <v>79</v>
      </c>
      <c r="B1" s="235"/>
      <c r="C1" s="235"/>
      <c r="D1" s="235"/>
      <c r="E1" s="235"/>
      <c r="F1" s="235"/>
      <c r="G1" s="236"/>
    </row>
    <row r="2" spans="1:8" ht="21.75" customHeight="1" x14ac:dyDescent="0.2">
      <c r="A2" s="259" t="s">
        <v>80</v>
      </c>
      <c r="B2" s="260"/>
      <c r="C2" s="260"/>
      <c r="D2" s="260"/>
      <c r="E2" s="260"/>
      <c r="F2" s="260"/>
      <c r="G2" s="261"/>
    </row>
    <row r="3" spans="1:8" ht="20.25" customHeight="1" x14ac:dyDescent="0.2">
      <c r="A3" s="241" t="s">
        <v>0</v>
      </c>
      <c r="B3" s="242"/>
      <c r="C3" s="262" t="s">
        <v>251</v>
      </c>
      <c r="D3" s="263"/>
      <c r="E3" s="263"/>
      <c r="F3" s="263"/>
      <c r="G3" s="264"/>
    </row>
    <row r="4" spans="1:8" ht="30.75" customHeight="1" x14ac:dyDescent="0.2">
      <c r="A4" s="243" t="s">
        <v>263</v>
      </c>
      <c r="B4" s="244"/>
      <c r="C4" s="256" t="s">
        <v>250</v>
      </c>
      <c r="D4" s="257"/>
      <c r="E4" s="257"/>
      <c r="F4" s="257"/>
      <c r="G4" s="258"/>
    </row>
    <row r="5" spans="1:8" ht="36" customHeight="1" x14ac:dyDescent="0.2">
      <c r="A5" s="125" t="s">
        <v>12</v>
      </c>
      <c r="B5" s="104" t="s">
        <v>81</v>
      </c>
      <c r="C5" s="105" t="s">
        <v>82</v>
      </c>
      <c r="D5" s="105" t="s">
        <v>83</v>
      </c>
      <c r="E5" s="105" t="s">
        <v>84</v>
      </c>
      <c r="F5" s="105" t="s">
        <v>85</v>
      </c>
      <c r="G5" s="126" t="s">
        <v>86</v>
      </c>
    </row>
    <row r="6" spans="1:8" ht="29.25" customHeight="1" x14ac:dyDescent="0.2">
      <c r="A6" s="253" t="s">
        <v>87</v>
      </c>
      <c r="B6" s="254"/>
      <c r="C6" s="254"/>
      <c r="D6" s="254"/>
      <c r="E6" s="254"/>
      <c r="F6" s="254"/>
      <c r="G6" s="255"/>
    </row>
    <row r="7" spans="1:8" ht="15" customHeight="1" x14ac:dyDescent="0.2">
      <c r="A7" s="245">
        <v>1</v>
      </c>
      <c r="B7" s="247" t="str">
        <f>'Orçamento Analítico Demolição'!E10</f>
        <v>ADMINISTRAÇÃO LOCAL</v>
      </c>
      <c r="C7" s="177" t="s">
        <v>88</v>
      </c>
      <c r="D7" s="161">
        <f>D8/$D$18</f>
        <v>6.7162562817660004E-2</v>
      </c>
      <c r="E7" s="178">
        <v>0.4</v>
      </c>
      <c r="F7" s="178">
        <v>0.3</v>
      </c>
      <c r="G7" s="179">
        <v>0.3</v>
      </c>
    </row>
    <row r="8" spans="1:8" ht="26.25" customHeight="1" x14ac:dyDescent="0.2">
      <c r="A8" s="246"/>
      <c r="B8" s="248"/>
      <c r="C8" s="173" t="s">
        <v>89</v>
      </c>
      <c r="D8" s="174">
        <f>'Orçamento Analítico Demolição'!J15</f>
        <v>47302.155740999995</v>
      </c>
      <c r="E8" s="175">
        <f>ROUND(E7*$D$8,4)</f>
        <v>18920.862300000001</v>
      </c>
      <c r="F8" s="175">
        <f>ROUND(F7*$D$8,4)</f>
        <v>14190.646699999999</v>
      </c>
      <c r="G8" s="176">
        <f>ROUND(G7*$D$8,4)</f>
        <v>14190.646699999999</v>
      </c>
    </row>
    <row r="9" spans="1:8" ht="15" customHeight="1" x14ac:dyDescent="0.2">
      <c r="A9" s="249">
        <v>2</v>
      </c>
      <c r="B9" s="251" t="str">
        <f>'Orçamento Analítico Demolição'!E16</f>
        <v>SERVIÇOS PRELIMINARES</v>
      </c>
      <c r="C9" s="177" t="s">
        <v>88</v>
      </c>
      <c r="D9" s="161">
        <f>D10/$D$18</f>
        <v>1.203157156848773E-2</v>
      </c>
      <c r="E9" s="158">
        <v>0.37</v>
      </c>
      <c r="F9" s="159">
        <v>0.26</v>
      </c>
      <c r="G9" s="160">
        <v>0.37</v>
      </c>
    </row>
    <row r="10" spans="1:8" ht="30" customHeight="1" x14ac:dyDescent="0.2">
      <c r="A10" s="250"/>
      <c r="B10" s="252"/>
      <c r="C10" s="180" t="s">
        <v>89</v>
      </c>
      <c r="D10" s="181">
        <f>'Orçamento Analítico Demolição'!J20</f>
        <v>8473.7575260000012</v>
      </c>
      <c r="E10" s="182">
        <f>E9*$D$10</f>
        <v>3135.2902846200004</v>
      </c>
      <c r="F10" s="182">
        <f t="shared" ref="F10:G10" si="0">F9*$D$10</f>
        <v>2203.1769567600004</v>
      </c>
      <c r="G10" s="183">
        <f t="shared" si="0"/>
        <v>3135.2902846200004</v>
      </c>
    </row>
    <row r="11" spans="1:8" ht="15" customHeight="1" x14ac:dyDescent="0.2">
      <c r="A11" s="237">
        <v>3</v>
      </c>
      <c r="B11" s="239" t="str">
        <f>'Orçamento Analítico Demolição'!E21</f>
        <v>SUBSTITUIÇÃO DE TELHADO</v>
      </c>
      <c r="C11" s="177" t="s">
        <v>88</v>
      </c>
      <c r="D11" s="161">
        <f>D12/$D$18</f>
        <v>0.88559217977478444</v>
      </c>
      <c r="E11" s="187">
        <v>0.2</v>
      </c>
      <c r="F11" s="187">
        <v>0.6</v>
      </c>
      <c r="G11" s="188">
        <v>0.2</v>
      </c>
      <c r="H11" s="107"/>
    </row>
    <row r="12" spans="1:8" ht="30.75" customHeight="1" x14ac:dyDescent="0.2">
      <c r="A12" s="238"/>
      <c r="B12" s="240"/>
      <c r="C12" s="184" t="s">
        <v>89</v>
      </c>
      <c r="D12" s="185">
        <f>'Orçamento Analítico Demolição'!J43</f>
        <v>623716.8067044589</v>
      </c>
      <c r="E12" s="186">
        <f>E11*D12</f>
        <v>124743.36134089179</v>
      </c>
      <c r="F12" s="186">
        <f>F11*D12</f>
        <v>374230.08402267535</v>
      </c>
      <c r="G12" s="186">
        <f>G11*D12</f>
        <v>124743.36134089179</v>
      </c>
    </row>
    <row r="13" spans="1:8" ht="15" customHeight="1" x14ac:dyDescent="0.2">
      <c r="A13" s="268">
        <v>4</v>
      </c>
      <c r="B13" s="270" t="str">
        <f>'Orçamento Analítico Demolição'!E44</f>
        <v>ALVENARIA DE FECHAMENTO  DO TELHADO</v>
      </c>
      <c r="C13" s="177" t="s">
        <v>88</v>
      </c>
      <c r="D13" s="161">
        <f>D14/$D$18</f>
        <v>1.367583515889495E-2</v>
      </c>
      <c r="E13" s="158"/>
      <c r="F13" s="161">
        <v>0.5</v>
      </c>
      <c r="G13" s="162">
        <v>0.5</v>
      </c>
    </row>
    <row r="14" spans="1:8" ht="30" customHeight="1" x14ac:dyDescent="0.2">
      <c r="A14" s="269"/>
      <c r="B14" s="271"/>
      <c r="C14" s="189" t="s">
        <v>89</v>
      </c>
      <c r="D14" s="190">
        <f>'Orçamento Analítico Demolição'!J48</f>
        <v>9631.8016680000001</v>
      </c>
      <c r="E14" s="191"/>
      <c r="F14" s="192">
        <f>F13*$D$14</f>
        <v>4815.900834</v>
      </c>
      <c r="G14" s="192">
        <f>G13*$D$14</f>
        <v>4815.900834</v>
      </c>
    </row>
    <row r="15" spans="1:8" ht="15" customHeight="1" x14ac:dyDescent="0.2">
      <c r="A15" s="272">
        <v>6</v>
      </c>
      <c r="B15" s="274" t="str">
        <f>'Orçamento Analítico Demolição'!E49</f>
        <v>LIMPEZA GERAL DE OBRA</v>
      </c>
      <c r="C15" s="177" t="s">
        <v>88</v>
      </c>
      <c r="D15" s="161">
        <f>D16/$D$18</f>
        <v>2.1537850680172988E-2</v>
      </c>
      <c r="E15" s="163"/>
      <c r="F15" s="163"/>
      <c r="G15" s="164">
        <v>1</v>
      </c>
    </row>
    <row r="16" spans="1:8" ht="29.25" customHeight="1" x14ac:dyDescent="0.2">
      <c r="A16" s="273"/>
      <c r="B16" s="275"/>
      <c r="C16" s="193" t="s">
        <v>89</v>
      </c>
      <c r="D16" s="194">
        <f>'Orçamento Analítico Demolição'!J51</f>
        <v>15168.9680152</v>
      </c>
      <c r="E16" s="195"/>
      <c r="F16" s="196"/>
      <c r="G16" s="196">
        <f>D16*G15</f>
        <v>15168.9680152</v>
      </c>
    </row>
    <row r="17" spans="1:8" s="109" customFormat="1" ht="14.25" customHeight="1" x14ac:dyDescent="0.2">
      <c r="A17" s="266" t="s">
        <v>90</v>
      </c>
      <c r="B17" s="267"/>
      <c r="C17" s="177" t="s">
        <v>88</v>
      </c>
      <c r="D17" s="197">
        <f>D7+D9+D11+D13+D15</f>
        <v>1</v>
      </c>
      <c r="E17" s="165">
        <f>E18/$D$18</f>
        <v>0.20843514256747289</v>
      </c>
      <c r="F17" s="165">
        <f>F18/$D$18</f>
        <v>0.56147020286575999</v>
      </c>
      <c r="G17" s="166">
        <f>G18/$D$18</f>
        <v>0.2300946545085529</v>
      </c>
      <c r="H17" s="108"/>
    </row>
    <row r="18" spans="1:8" s="109" customFormat="1" ht="27.75" customHeight="1" x14ac:dyDescent="0.2">
      <c r="A18" s="266"/>
      <c r="B18" s="267"/>
      <c r="C18" s="106" t="s">
        <v>89</v>
      </c>
      <c r="D18" s="167">
        <f>D8+D10+D12+D14+D16</f>
        <v>704293.48965465883</v>
      </c>
      <c r="E18" s="168">
        <f>E8+E10+E12+E14+E16</f>
        <v>146799.5139255118</v>
      </c>
      <c r="F18" s="168">
        <f>F8+F10+F12+F14+F16</f>
        <v>395439.8085134353</v>
      </c>
      <c r="G18" s="168">
        <f>G8+G10+G12+G14+G16</f>
        <v>162054.16717471179</v>
      </c>
      <c r="H18" s="110"/>
    </row>
    <row r="19" spans="1:8" ht="14.25" customHeight="1" x14ac:dyDescent="0.2">
      <c r="A19" s="127"/>
      <c r="B19" s="111"/>
      <c r="F19" s="122"/>
      <c r="G19" s="123"/>
    </row>
    <row r="20" spans="1:8" ht="14.25" customHeight="1" x14ac:dyDescent="0.2">
      <c r="A20" s="127"/>
      <c r="B20" s="154"/>
      <c r="D20" s="155"/>
      <c r="E20" s="155"/>
      <c r="G20" s="123"/>
    </row>
    <row r="21" spans="1:8" ht="13.5" customHeight="1" x14ac:dyDescent="0.2">
      <c r="A21" s="118"/>
      <c r="D21" s="156"/>
      <c r="E21" s="156"/>
      <c r="G21" s="123"/>
    </row>
    <row r="22" spans="1:8" ht="14.25" customHeight="1" x14ac:dyDescent="0.2">
      <c r="A22" s="118"/>
      <c r="B22" s="113" t="s">
        <v>91</v>
      </c>
      <c r="D22" s="157"/>
      <c r="G22" s="123"/>
    </row>
    <row r="23" spans="1:8" ht="14.25" customHeight="1" x14ac:dyDescent="0.2">
      <c r="A23" s="118"/>
      <c r="B23" s="114" t="s">
        <v>92</v>
      </c>
      <c r="G23" s="123"/>
    </row>
    <row r="24" spans="1:8" ht="14.25" customHeight="1" x14ac:dyDescent="0.2">
      <c r="A24" s="118"/>
      <c r="G24" s="123"/>
      <c r="H24" s="115"/>
    </row>
    <row r="25" spans="1:8" ht="15" customHeight="1" x14ac:dyDescent="0.2">
      <c r="A25" s="118"/>
      <c r="D25" s="265"/>
      <c r="E25" s="265"/>
      <c r="G25" s="123"/>
    </row>
    <row r="26" spans="1:8" ht="14.1" customHeight="1" thickBot="1" x14ac:dyDescent="0.25">
      <c r="A26" s="128"/>
      <c r="B26" s="116"/>
      <c r="C26" s="117"/>
      <c r="D26" s="117"/>
      <c r="E26" s="117"/>
      <c r="F26" s="116"/>
      <c r="G26" s="124"/>
    </row>
    <row r="27" spans="1:8" ht="14.1" customHeight="1" x14ac:dyDescent="0.2">
      <c r="A27" s="112"/>
    </row>
    <row r="28" spans="1:8" ht="14.1" customHeight="1" x14ac:dyDescent="0.2">
      <c r="A28" s="112"/>
    </row>
    <row r="29" spans="1:8" ht="15" x14ac:dyDescent="0.2">
      <c r="B29" s="119"/>
    </row>
    <row r="30" spans="1:8" ht="15" x14ac:dyDescent="0.2">
      <c r="A30" s="118"/>
      <c r="B30" s="119"/>
    </row>
    <row r="31" spans="1:8" x14ac:dyDescent="0.2">
      <c r="A31" s="118"/>
    </row>
    <row r="32" spans="1:8" x14ac:dyDescent="0.2">
      <c r="A32" s="118"/>
    </row>
    <row r="33" spans="1:1" x14ac:dyDescent="0.2">
      <c r="A33" s="118"/>
    </row>
    <row r="34" spans="1:1" x14ac:dyDescent="0.2">
      <c r="A34" s="118"/>
    </row>
    <row r="35" spans="1:1" x14ac:dyDescent="0.2">
      <c r="A35" s="118"/>
    </row>
  </sheetData>
  <mergeCells count="19">
    <mergeCell ref="D25:E25"/>
    <mergeCell ref="A17:B18"/>
    <mergeCell ref="A13:A14"/>
    <mergeCell ref="B13:B14"/>
    <mergeCell ref="A15:A16"/>
    <mergeCell ref="B15:B16"/>
    <mergeCell ref="A1:G1"/>
    <mergeCell ref="A11:A12"/>
    <mergeCell ref="B11:B12"/>
    <mergeCell ref="A3:B3"/>
    <mergeCell ref="A4:B4"/>
    <mergeCell ref="A7:A8"/>
    <mergeCell ref="B7:B8"/>
    <mergeCell ref="A9:A10"/>
    <mergeCell ref="B9:B10"/>
    <mergeCell ref="A6:G6"/>
    <mergeCell ref="C4:G4"/>
    <mergeCell ref="A2:G2"/>
    <mergeCell ref="C3:G3"/>
  </mergeCells>
  <pageMargins left="0.51181102362204722" right="0.51181102362204722" top="0.78740157480314965" bottom="0.78740157480314965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E80B-839E-46D2-BDE7-E8CC7F3D50F5}">
  <sheetPr>
    <pageSetUpPr fitToPage="1"/>
  </sheetPr>
  <dimension ref="A1:BD28"/>
  <sheetViews>
    <sheetView workbookViewId="0">
      <selection activeCell="AE14" sqref="AE14"/>
    </sheetView>
  </sheetViews>
  <sheetFormatPr defaultColWidth="9.140625" defaultRowHeight="15" x14ac:dyDescent="0.25"/>
  <cols>
    <col min="1" max="1" width="15.42578125" style="57" customWidth="1"/>
    <col min="2" max="2" width="9.140625" style="57"/>
    <col min="3" max="3" width="3.42578125" style="57" bestFit="1" customWidth="1"/>
    <col min="4" max="4" width="2.42578125" style="57" bestFit="1" customWidth="1"/>
    <col min="5" max="5" width="6.5703125" style="57" bestFit="1" customWidth="1"/>
    <col min="6" max="6" width="2" style="102" bestFit="1" customWidth="1"/>
    <col min="7" max="7" width="8.140625" style="102" customWidth="1"/>
    <col min="8" max="8" width="2" style="102" bestFit="1" customWidth="1"/>
    <col min="9" max="9" width="6.5703125" style="102" bestFit="1" customWidth="1"/>
    <col min="10" max="10" width="2" style="102" bestFit="1" customWidth="1"/>
    <col min="11" max="11" width="6.5703125" style="102" bestFit="1" customWidth="1"/>
    <col min="12" max="12" width="2.7109375" style="102" bestFit="1" customWidth="1"/>
    <col min="13" max="13" width="1.7109375" style="57" bestFit="1" customWidth="1"/>
    <col min="14" max="14" width="6.5703125" style="57" bestFit="1" customWidth="1"/>
    <col min="15" max="15" width="2" style="57" bestFit="1" customWidth="1"/>
    <col min="16" max="16" width="6.5703125" style="57" bestFit="1" customWidth="1"/>
    <col min="17" max="17" width="2.7109375" style="57" bestFit="1" customWidth="1"/>
    <col min="18" max="18" width="1.7109375" style="57" bestFit="1" customWidth="1"/>
    <col min="19" max="19" width="6.5703125" style="57" bestFit="1" customWidth="1"/>
    <col min="20" max="20" width="2" style="57" bestFit="1" customWidth="1"/>
    <col min="21" max="21" width="6.5703125" style="57" bestFit="1" customWidth="1"/>
    <col min="22" max="22" width="2.42578125" style="57" bestFit="1" customWidth="1"/>
    <col min="23" max="23" width="2.42578125" style="57" customWidth="1"/>
    <col min="24" max="24" width="2.7109375" style="57" bestFit="1" customWidth="1"/>
    <col min="25" max="25" width="2" style="57" bestFit="1" customWidth="1"/>
    <col min="26" max="26" width="7.140625" style="57" bestFit="1" customWidth="1"/>
    <col min="27" max="27" width="7.42578125" style="57" customWidth="1"/>
    <col min="28" max="28" width="2" style="57" hidden="1" customWidth="1"/>
    <col min="29" max="31" width="9.140625" style="57"/>
    <col min="32" max="32" width="96" style="57" hidden="1" customWidth="1"/>
    <col min="33" max="37" width="6.140625" style="57" hidden="1" customWidth="1"/>
    <col min="38" max="38" width="0" style="57" hidden="1" customWidth="1"/>
    <col min="39" max="39" width="96" style="57" hidden="1" customWidth="1"/>
    <col min="40" max="45" width="0" style="57" hidden="1" customWidth="1"/>
    <col min="46" max="46" width="96" style="57" hidden="1" customWidth="1"/>
    <col min="47" max="51" width="0" style="57" hidden="1" customWidth="1"/>
    <col min="52" max="256" width="9.140625" style="57"/>
    <col min="257" max="257" width="15.42578125" style="57" customWidth="1"/>
    <col min="258" max="258" width="9.140625" style="57"/>
    <col min="259" max="259" width="3.42578125" style="57" bestFit="1" customWidth="1"/>
    <col min="260" max="260" width="2.42578125" style="57" bestFit="1" customWidth="1"/>
    <col min="261" max="261" width="6.5703125" style="57" bestFit="1" customWidth="1"/>
    <col min="262" max="262" width="2" style="57" bestFit="1" customWidth="1"/>
    <col min="263" max="263" width="8.140625" style="57" customWidth="1"/>
    <col min="264" max="264" width="2" style="57" bestFit="1" customWidth="1"/>
    <col min="265" max="265" width="6.5703125" style="57" bestFit="1" customWidth="1"/>
    <col min="266" max="266" width="2" style="57" bestFit="1" customWidth="1"/>
    <col min="267" max="267" width="6.5703125" style="57" bestFit="1" customWidth="1"/>
    <col min="268" max="268" width="2.7109375" style="57" bestFit="1" customWidth="1"/>
    <col min="269" max="269" width="1.7109375" style="57" bestFit="1" customWidth="1"/>
    <col min="270" max="270" width="6.5703125" style="57" bestFit="1" customWidth="1"/>
    <col min="271" max="271" width="2" style="57" bestFit="1" customWidth="1"/>
    <col min="272" max="272" width="6.5703125" style="57" bestFit="1" customWidth="1"/>
    <col min="273" max="273" width="2.7109375" style="57" bestFit="1" customWidth="1"/>
    <col min="274" max="274" width="1.7109375" style="57" bestFit="1" customWidth="1"/>
    <col min="275" max="275" width="6.5703125" style="57" bestFit="1" customWidth="1"/>
    <col min="276" max="276" width="2" style="57" bestFit="1" customWidth="1"/>
    <col min="277" max="277" width="6.5703125" style="57" bestFit="1" customWidth="1"/>
    <col min="278" max="278" width="2.42578125" style="57" bestFit="1" customWidth="1"/>
    <col min="279" max="279" width="2.42578125" style="57" customWidth="1"/>
    <col min="280" max="280" width="2.7109375" style="57" bestFit="1" customWidth="1"/>
    <col min="281" max="281" width="2" style="57" bestFit="1" customWidth="1"/>
    <col min="282" max="282" width="7.140625" style="57" bestFit="1" customWidth="1"/>
    <col min="283" max="283" width="7.42578125" style="57" customWidth="1"/>
    <col min="284" max="284" width="0" style="57" hidden="1" customWidth="1"/>
    <col min="285" max="287" width="9.140625" style="57"/>
    <col min="288" max="307" width="0" style="57" hidden="1" customWidth="1"/>
    <col min="308" max="512" width="9.140625" style="57"/>
    <col min="513" max="513" width="15.42578125" style="57" customWidth="1"/>
    <col min="514" max="514" width="9.140625" style="57"/>
    <col min="515" max="515" width="3.42578125" style="57" bestFit="1" customWidth="1"/>
    <col min="516" max="516" width="2.42578125" style="57" bestFit="1" customWidth="1"/>
    <col min="517" max="517" width="6.5703125" style="57" bestFit="1" customWidth="1"/>
    <col min="518" max="518" width="2" style="57" bestFit="1" customWidth="1"/>
    <col min="519" max="519" width="8.140625" style="57" customWidth="1"/>
    <col min="520" max="520" width="2" style="57" bestFit="1" customWidth="1"/>
    <col min="521" max="521" width="6.5703125" style="57" bestFit="1" customWidth="1"/>
    <col min="522" max="522" width="2" style="57" bestFit="1" customWidth="1"/>
    <col min="523" max="523" width="6.5703125" style="57" bestFit="1" customWidth="1"/>
    <col min="524" max="524" width="2.7109375" style="57" bestFit="1" customWidth="1"/>
    <col min="525" max="525" width="1.7109375" style="57" bestFit="1" customWidth="1"/>
    <col min="526" max="526" width="6.5703125" style="57" bestFit="1" customWidth="1"/>
    <col min="527" max="527" width="2" style="57" bestFit="1" customWidth="1"/>
    <col min="528" max="528" width="6.5703125" style="57" bestFit="1" customWidth="1"/>
    <col min="529" max="529" width="2.7109375" style="57" bestFit="1" customWidth="1"/>
    <col min="530" max="530" width="1.7109375" style="57" bestFit="1" customWidth="1"/>
    <col min="531" max="531" width="6.5703125" style="57" bestFit="1" customWidth="1"/>
    <col min="532" max="532" width="2" style="57" bestFit="1" customWidth="1"/>
    <col min="533" max="533" width="6.5703125" style="57" bestFit="1" customWidth="1"/>
    <col min="534" max="534" width="2.42578125" style="57" bestFit="1" customWidth="1"/>
    <col min="535" max="535" width="2.42578125" style="57" customWidth="1"/>
    <col min="536" max="536" width="2.7109375" style="57" bestFit="1" customWidth="1"/>
    <col min="537" max="537" width="2" style="57" bestFit="1" customWidth="1"/>
    <col min="538" max="538" width="7.140625" style="57" bestFit="1" customWidth="1"/>
    <col min="539" max="539" width="7.42578125" style="57" customWidth="1"/>
    <col min="540" max="540" width="0" style="57" hidden="1" customWidth="1"/>
    <col min="541" max="543" width="9.140625" style="57"/>
    <col min="544" max="563" width="0" style="57" hidden="1" customWidth="1"/>
    <col min="564" max="768" width="9.140625" style="57"/>
    <col min="769" max="769" width="15.42578125" style="57" customWidth="1"/>
    <col min="770" max="770" width="9.140625" style="57"/>
    <col min="771" max="771" width="3.42578125" style="57" bestFit="1" customWidth="1"/>
    <col min="772" max="772" width="2.42578125" style="57" bestFit="1" customWidth="1"/>
    <col min="773" max="773" width="6.5703125" style="57" bestFit="1" customWidth="1"/>
    <col min="774" max="774" width="2" style="57" bestFit="1" customWidth="1"/>
    <col min="775" max="775" width="8.140625" style="57" customWidth="1"/>
    <col min="776" max="776" width="2" style="57" bestFit="1" customWidth="1"/>
    <col min="777" max="777" width="6.5703125" style="57" bestFit="1" customWidth="1"/>
    <col min="778" max="778" width="2" style="57" bestFit="1" customWidth="1"/>
    <col min="779" max="779" width="6.5703125" style="57" bestFit="1" customWidth="1"/>
    <col min="780" max="780" width="2.7109375" style="57" bestFit="1" customWidth="1"/>
    <col min="781" max="781" width="1.7109375" style="57" bestFit="1" customWidth="1"/>
    <col min="782" max="782" width="6.5703125" style="57" bestFit="1" customWidth="1"/>
    <col min="783" max="783" width="2" style="57" bestFit="1" customWidth="1"/>
    <col min="784" max="784" width="6.5703125" style="57" bestFit="1" customWidth="1"/>
    <col min="785" max="785" width="2.7109375" style="57" bestFit="1" customWidth="1"/>
    <col min="786" max="786" width="1.7109375" style="57" bestFit="1" customWidth="1"/>
    <col min="787" max="787" width="6.5703125" style="57" bestFit="1" customWidth="1"/>
    <col min="788" max="788" width="2" style="57" bestFit="1" customWidth="1"/>
    <col min="789" max="789" width="6.5703125" style="57" bestFit="1" customWidth="1"/>
    <col min="790" max="790" width="2.42578125" style="57" bestFit="1" customWidth="1"/>
    <col min="791" max="791" width="2.42578125" style="57" customWidth="1"/>
    <col min="792" max="792" width="2.7109375" style="57" bestFit="1" customWidth="1"/>
    <col min="793" max="793" width="2" style="57" bestFit="1" customWidth="1"/>
    <col min="794" max="794" width="7.140625" style="57" bestFit="1" customWidth="1"/>
    <col min="795" max="795" width="7.42578125" style="57" customWidth="1"/>
    <col min="796" max="796" width="0" style="57" hidden="1" customWidth="1"/>
    <col min="797" max="799" width="9.140625" style="57"/>
    <col min="800" max="819" width="0" style="57" hidden="1" customWidth="1"/>
    <col min="820" max="1024" width="9.140625" style="57"/>
    <col min="1025" max="1025" width="15.42578125" style="57" customWidth="1"/>
    <col min="1026" max="1026" width="9.140625" style="57"/>
    <col min="1027" max="1027" width="3.42578125" style="57" bestFit="1" customWidth="1"/>
    <col min="1028" max="1028" width="2.42578125" style="57" bestFit="1" customWidth="1"/>
    <col min="1029" max="1029" width="6.5703125" style="57" bestFit="1" customWidth="1"/>
    <col min="1030" max="1030" width="2" style="57" bestFit="1" customWidth="1"/>
    <col min="1031" max="1031" width="8.140625" style="57" customWidth="1"/>
    <col min="1032" max="1032" width="2" style="57" bestFit="1" customWidth="1"/>
    <col min="1033" max="1033" width="6.5703125" style="57" bestFit="1" customWidth="1"/>
    <col min="1034" max="1034" width="2" style="57" bestFit="1" customWidth="1"/>
    <col min="1035" max="1035" width="6.5703125" style="57" bestFit="1" customWidth="1"/>
    <col min="1036" max="1036" width="2.7109375" style="57" bestFit="1" customWidth="1"/>
    <col min="1037" max="1037" width="1.7109375" style="57" bestFit="1" customWidth="1"/>
    <col min="1038" max="1038" width="6.5703125" style="57" bestFit="1" customWidth="1"/>
    <col min="1039" max="1039" width="2" style="57" bestFit="1" customWidth="1"/>
    <col min="1040" max="1040" width="6.5703125" style="57" bestFit="1" customWidth="1"/>
    <col min="1041" max="1041" width="2.7109375" style="57" bestFit="1" customWidth="1"/>
    <col min="1042" max="1042" width="1.7109375" style="57" bestFit="1" customWidth="1"/>
    <col min="1043" max="1043" width="6.5703125" style="57" bestFit="1" customWidth="1"/>
    <col min="1044" max="1044" width="2" style="57" bestFit="1" customWidth="1"/>
    <col min="1045" max="1045" width="6.5703125" style="57" bestFit="1" customWidth="1"/>
    <col min="1046" max="1046" width="2.42578125" style="57" bestFit="1" customWidth="1"/>
    <col min="1047" max="1047" width="2.42578125" style="57" customWidth="1"/>
    <col min="1048" max="1048" width="2.7109375" style="57" bestFit="1" customWidth="1"/>
    <col min="1049" max="1049" width="2" style="57" bestFit="1" customWidth="1"/>
    <col min="1050" max="1050" width="7.140625" style="57" bestFit="1" customWidth="1"/>
    <col min="1051" max="1051" width="7.42578125" style="57" customWidth="1"/>
    <col min="1052" max="1052" width="0" style="57" hidden="1" customWidth="1"/>
    <col min="1053" max="1055" width="9.140625" style="57"/>
    <col min="1056" max="1075" width="0" style="57" hidden="1" customWidth="1"/>
    <col min="1076" max="1280" width="9.140625" style="57"/>
    <col min="1281" max="1281" width="15.42578125" style="57" customWidth="1"/>
    <col min="1282" max="1282" width="9.140625" style="57"/>
    <col min="1283" max="1283" width="3.42578125" style="57" bestFit="1" customWidth="1"/>
    <col min="1284" max="1284" width="2.42578125" style="57" bestFit="1" customWidth="1"/>
    <col min="1285" max="1285" width="6.5703125" style="57" bestFit="1" customWidth="1"/>
    <col min="1286" max="1286" width="2" style="57" bestFit="1" customWidth="1"/>
    <col min="1287" max="1287" width="8.140625" style="57" customWidth="1"/>
    <col min="1288" max="1288" width="2" style="57" bestFit="1" customWidth="1"/>
    <col min="1289" max="1289" width="6.5703125" style="57" bestFit="1" customWidth="1"/>
    <col min="1290" max="1290" width="2" style="57" bestFit="1" customWidth="1"/>
    <col min="1291" max="1291" width="6.5703125" style="57" bestFit="1" customWidth="1"/>
    <col min="1292" max="1292" width="2.7109375" style="57" bestFit="1" customWidth="1"/>
    <col min="1293" max="1293" width="1.7109375" style="57" bestFit="1" customWidth="1"/>
    <col min="1294" max="1294" width="6.5703125" style="57" bestFit="1" customWidth="1"/>
    <col min="1295" max="1295" width="2" style="57" bestFit="1" customWidth="1"/>
    <col min="1296" max="1296" width="6.5703125" style="57" bestFit="1" customWidth="1"/>
    <col min="1297" max="1297" width="2.7109375" style="57" bestFit="1" customWidth="1"/>
    <col min="1298" max="1298" width="1.7109375" style="57" bestFit="1" customWidth="1"/>
    <col min="1299" max="1299" width="6.5703125" style="57" bestFit="1" customWidth="1"/>
    <col min="1300" max="1300" width="2" style="57" bestFit="1" customWidth="1"/>
    <col min="1301" max="1301" width="6.5703125" style="57" bestFit="1" customWidth="1"/>
    <col min="1302" max="1302" width="2.42578125" style="57" bestFit="1" customWidth="1"/>
    <col min="1303" max="1303" width="2.42578125" style="57" customWidth="1"/>
    <col min="1304" max="1304" width="2.7109375" style="57" bestFit="1" customWidth="1"/>
    <col min="1305" max="1305" width="2" style="57" bestFit="1" customWidth="1"/>
    <col min="1306" max="1306" width="7.140625" style="57" bestFit="1" customWidth="1"/>
    <col min="1307" max="1307" width="7.42578125" style="57" customWidth="1"/>
    <col min="1308" max="1308" width="0" style="57" hidden="1" customWidth="1"/>
    <col min="1309" max="1311" width="9.140625" style="57"/>
    <col min="1312" max="1331" width="0" style="57" hidden="1" customWidth="1"/>
    <col min="1332" max="1536" width="9.140625" style="57"/>
    <col min="1537" max="1537" width="15.42578125" style="57" customWidth="1"/>
    <col min="1538" max="1538" width="9.140625" style="57"/>
    <col min="1539" max="1539" width="3.42578125" style="57" bestFit="1" customWidth="1"/>
    <col min="1540" max="1540" width="2.42578125" style="57" bestFit="1" customWidth="1"/>
    <col min="1541" max="1541" width="6.5703125" style="57" bestFit="1" customWidth="1"/>
    <col min="1542" max="1542" width="2" style="57" bestFit="1" customWidth="1"/>
    <col min="1543" max="1543" width="8.140625" style="57" customWidth="1"/>
    <col min="1544" max="1544" width="2" style="57" bestFit="1" customWidth="1"/>
    <col min="1545" max="1545" width="6.5703125" style="57" bestFit="1" customWidth="1"/>
    <col min="1546" max="1546" width="2" style="57" bestFit="1" customWidth="1"/>
    <col min="1547" max="1547" width="6.5703125" style="57" bestFit="1" customWidth="1"/>
    <col min="1548" max="1548" width="2.7109375" style="57" bestFit="1" customWidth="1"/>
    <col min="1549" max="1549" width="1.7109375" style="57" bestFit="1" customWidth="1"/>
    <col min="1550" max="1550" width="6.5703125" style="57" bestFit="1" customWidth="1"/>
    <col min="1551" max="1551" width="2" style="57" bestFit="1" customWidth="1"/>
    <col min="1552" max="1552" width="6.5703125" style="57" bestFit="1" customWidth="1"/>
    <col min="1553" max="1553" width="2.7109375" style="57" bestFit="1" customWidth="1"/>
    <col min="1554" max="1554" width="1.7109375" style="57" bestFit="1" customWidth="1"/>
    <col min="1555" max="1555" width="6.5703125" style="57" bestFit="1" customWidth="1"/>
    <col min="1556" max="1556" width="2" style="57" bestFit="1" customWidth="1"/>
    <col min="1557" max="1557" width="6.5703125" style="57" bestFit="1" customWidth="1"/>
    <col min="1558" max="1558" width="2.42578125" style="57" bestFit="1" customWidth="1"/>
    <col min="1559" max="1559" width="2.42578125" style="57" customWidth="1"/>
    <col min="1560" max="1560" width="2.7109375" style="57" bestFit="1" customWidth="1"/>
    <col min="1561" max="1561" width="2" style="57" bestFit="1" customWidth="1"/>
    <col min="1562" max="1562" width="7.140625" style="57" bestFit="1" customWidth="1"/>
    <col min="1563" max="1563" width="7.42578125" style="57" customWidth="1"/>
    <col min="1564" max="1564" width="0" style="57" hidden="1" customWidth="1"/>
    <col min="1565" max="1567" width="9.140625" style="57"/>
    <col min="1568" max="1587" width="0" style="57" hidden="1" customWidth="1"/>
    <col min="1588" max="1792" width="9.140625" style="57"/>
    <col min="1793" max="1793" width="15.42578125" style="57" customWidth="1"/>
    <col min="1794" max="1794" width="9.140625" style="57"/>
    <col min="1795" max="1795" width="3.42578125" style="57" bestFit="1" customWidth="1"/>
    <col min="1796" max="1796" width="2.42578125" style="57" bestFit="1" customWidth="1"/>
    <col min="1797" max="1797" width="6.5703125" style="57" bestFit="1" customWidth="1"/>
    <col min="1798" max="1798" width="2" style="57" bestFit="1" customWidth="1"/>
    <col min="1799" max="1799" width="8.140625" style="57" customWidth="1"/>
    <col min="1800" max="1800" width="2" style="57" bestFit="1" customWidth="1"/>
    <col min="1801" max="1801" width="6.5703125" style="57" bestFit="1" customWidth="1"/>
    <col min="1802" max="1802" width="2" style="57" bestFit="1" customWidth="1"/>
    <col min="1803" max="1803" width="6.5703125" style="57" bestFit="1" customWidth="1"/>
    <col min="1804" max="1804" width="2.7109375" style="57" bestFit="1" customWidth="1"/>
    <col min="1805" max="1805" width="1.7109375" style="57" bestFit="1" customWidth="1"/>
    <col min="1806" max="1806" width="6.5703125" style="57" bestFit="1" customWidth="1"/>
    <col min="1807" max="1807" width="2" style="57" bestFit="1" customWidth="1"/>
    <col min="1808" max="1808" width="6.5703125" style="57" bestFit="1" customWidth="1"/>
    <col min="1809" max="1809" width="2.7109375" style="57" bestFit="1" customWidth="1"/>
    <col min="1810" max="1810" width="1.7109375" style="57" bestFit="1" customWidth="1"/>
    <col min="1811" max="1811" width="6.5703125" style="57" bestFit="1" customWidth="1"/>
    <col min="1812" max="1812" width="2" style="57" bestFit="1" customWidth="1"/>
    <col min="1813" max="1813" width="6.5703125" style="57" bestFit="1" customWidth="1"/>
    <col min="1814" max="1814" width="2.42578125" style="57" bestFit="1" customWidth="1"/>
    <col min="1815" max="1815" width="2.42578125" style="57" customWidth="1"/>
    <col min="1816" max="1816" width="2.7109375" style="57" bestFit="1" customWidth="1"/>
    <col min="1817" max="1817" width="2" style="57" bestFit="1" customWidth="1"/>
    <col min="1818" max="1818" width="7.140625" style="57" bestFit="1" customWidth="1"/>
    <col min="1819" max="1819" width="7.42578125" style="57" customWidth="1"/>
    <col min="1820" max="1820" width="0" style="57" hidden="1" customWidth="1"/>
    <col min="1821" max="1823" width="9.140625" style="57"/>
    <col min="1824" max="1843" width="0" style="57" hidden="1" customWidth="1"/>
    <col min="1844" max="2048" width="9.140625" style="57"/>
    <col min="2049" max="2049" width="15.42578125" style="57" customWidth="1"/>
    <col min="2050" max="2050" width="9.140625" style="57"/>
    <col min="2051" max="2051" width="3.42578125" style="57" bestFit="1" customWidth="1"/>
    <col min="2052" max="2052" width="2.42578125" style="57" bestFit="1" customWidth="1"/>
    <col min="2053" max="2053" width="6.5703125" style="57" bestFit="1" customWidth="1"/>
    <col min="2054" max="2054" width="2" style="57" bestFit="1" customWidth="1"/>
    <col min="2055" max="2055" width="8.140625" style="57" customWidth="1"/>
    <col min="2056" max="2056" width="2" style="57" bestFit="1" customWidth="1"/>
    <col min="2057" max="2057" width="6.5703125" style="57" bestFit="1" customWidth="1"/>
    <col min="2058" max="2058" width="2" style="57" bestFit="1" customWidth="1"/>
    <col min="2059" max="2059" width="6.5703125" style="57" bestFit="1" customWidth="1"/>
    <col min="2060" max="2060" width="2.7109375" style="57" bestFit="1" customWidth="1"/>
    <col min="2061" max="2061" width="1.7109375" style="57" bestFit="1" customWidth="1"/>
    <col min="2062" max="2062" width="6.5703125" style="57" bestFit="1" customWidth="1"/>
    <col min="2063" max="2063" width="2" style="57" bestFit="1" customWidth="1"/>
    <col min="2064" max="2064" width="6.5703125" style="57" bestFit="1" customWidth="1"/>
    <col min="2065" max="2065" width="2.7109375" style="57" bestFit="1" customWidth="1"/>
    <col min="2066" max="2066" width="1.7109375" style="57" bestFit="1" customWidth="1"/>
    <col min="2067" max="2067" width="6.5703125" style="57" bestFit="1" customWidth="1"/>
    <col min="2068" max="2068" width="2" style="57" bestFit="1" customWidth="1"/>
    <col min="2069" max="2069" width="6.5703125" style="57" bestFit="1" customWidth="1"/>
    <col min="2070" max="2070" width="2.42578125" style="57" bestFit="1" customWidth="1"/>
    <col min="2071" max="2071" width="2.42578125" style="57" customWidth="1"/>
    <col min="2072" max="2072" width="2.7109375" style="57" bestFit="1" customWidth="1"/>
    <col min="2073" max="2073" width="2" style="57" bestFit="1" customWidth="1"/>
    <col min="2074" max="2074" width="7.140625" style="57" bestFit="1" customWidth="1"/>
    <col min="2075" max="2075" width="7.42578125" style="57" customWidth="1"/>
    <col min="2076" max="2076" width="0" style="57" hidden="1" customWidth="1"/>
    <col min="2077" max="2079" width="9.140625" style="57"/>
    <col min="2080" max="2099" width="0" style="57" hidden="1" customWidth="1"/>
    <col min="2100" max="2304" width="9.140625" style="57"/>
    <col min="2305" max="2305" width="15.42578125" style="57" customWidth="1"/>
    <col min="2306" max="2306" width="9.140625" style="57"/>
    <col min="2307" max="2307" width="3.42578125" style="57" bestFit="1" customWidth="1"/>
    <col min="2308" max="2308" width="2.42578125" style="57" bestFit="1" customWidth="1"/>
    <col min="2309" max="2309" width="6.5703125" style="57" bestFit="1" customWidth="1"/>
    <col min="2310" max="2310" width="2" style="57" bestFit="1" customWidth="1"/>
    <col min="2311" max="2311" width="8.140625" style="57" customWidth="1"/>
    <col min="2312" max="2312" width="2" style="57" bestFit="1" customWidth="1"/>
    <col min="2313" max="2313" width="6.5703125" style="57" bestFit="1" customWidth="1"/>
    <col min="2314" max="2314" width="2" style="57" bestFit="1" customWidth="1"/>
    <col min="2315" max="2315" width="6.5703125" style="57" bestFit="1" customWidth="1"/>
    <col min="2316" max="2316" width="2.7109375" style="57" bestFit="1" customWidth="1"/>
    <col min="2317" max="2317" width="1.7109375" style="57" bestFit="1" customWidth="1"/>
    <col min="2318" max="2318" width="6.5703125" style="57" bestFit="1" customWidth="1"/>
    <col min="2319" max="2319" width="2" style="57" bestFit="1" customWidth="1"/>
    <col min="2320" max="2320" width="6.5703125" style="57" bestFit="1" customWidth="1"/>
    <col min="2321" max="2321" width="2.7109375" style="57" bestFit="1" customWidth="1"/>
    <col min="2322" max="2322" width="1.7109375" style="57" bestFit="1" customWidth="1"/>
    <col min="2323" max="2323" width="6.5703125" style="57" bestFit="1" customWidth="1"/>
    <col min="2324" max="2324" width="2" style="57" bestFit="1" customWidth="1"/>
    <col min="2325" max="2325" width="6.5703125" style="57" bestFit="1" customWidth="1"/>
    <col min="2326" max="2326" width="2.42578125" style="57" bestFit="1" customWidth="1"/>
    <col min="2327" max="2327" width="2.42578125" style="57" customWidth="1"/>
    <col min="2328" max="2328" width="2.7109375" style="57" bestFit="1" customWidth="1"/>
    <col min="2329" max="2329" width="2" style="57" bestFit="1" customWidth="1"/>
    <col min="2330" max="2330" width="7.140625" style="57" bestFit="1" customWidth="1"/>
    <col min="2331" max="2331" width="7.42578125" style="57" customWidth="1"/>
    <col min="2332" max="2332" width="0" style="57" hidden="1" customWidth="1"/>
    <col min="2333" max="2335" width="9.140625" style="57"/>
    <col min="2336" max="2355" width="0" style="57" hidden="1" customWidth="1"/>
    <col min="2356" max="2560" width="9.140625" style="57"/>
    <col min="2561" max="2561" width="15.42578125" style="57" customWidth="1"/>
    <col min="2562" max="2562" width="9.140625" style="57"/>
    <col min="2563" max="2563" width="3.42578125" style="57" bestFit="1" customWidth="1"/>
    <col min="2564" max="2564" width="2.42578125" style="57" bestFit="1" customWidth="1"/>
    <col min="2565" max="2565" width="6.5703125" style="57" bestFit="1" customWidth="1"/>
    <col min="2566" max="2566" width="2" style="57" bestFit="1" customWidth="1"/>
    <col min="2567" max="2567" width="8.140625" style="57" customWidth="1"/>
    <col min="2568" max="2568" width="2" style="57" bestFit="1" customWidth="1"/>
    <col min="2569" max="2569" width="6.5703125" style="57" bestFit="1" customWidth="1"/>
    <col min="2570" max="2570" width="2" style="57" bestFit="1" customWidth="1"/>
    <col min="2571" max="2571" width="6.5703125" style="57" bestFit="1" customWidth="1"/>
    <col min="2572" max="2572" width="2.7109375" style="57" bestFit="1" customWidth="1"/>
    <col min="2573" max="2573" width="1.7109375" style="57" bestFit="1" customWidth="1"/>
    <col min="2574" max="2574" width="6.5703125" style="57" bestFit="1" customWidth="1"/>
    <col min="2575" max="2575" width="2" style="57" bestFit="1" customWidth="1"/>
    <col min="2576" max="2576" width="6.5703125" style="57" bestFit="1" customWidth="1"/>
    <col min="2577" max="2577" width="2.7109375" style="57" bestFit="1" customWidth="1"/>
    <col min="2578" max="2578" width="1.7109375" style="57" bestFit="1" customWidth="1"/>
    <col min="2579" max="2579" width="6.5703125" style="57" bestFit="1" customWidth="1"/>
    <col min="2580" max="2580" width="2" style="57" bestFit="1" customWidth="1"/>
    <col min="2581" max="2581" width="6.5703125" style="57" bestFit="1" customWidth="1"/>
    <col min="2582" max="2582" width="2.42578125" style="57" bestFit="1" customWidth="1"/>
    <col min="2583" max="2583" width="2.42578125" style="57" customWidth="1"/>
    <col min="2584" max="2584" width="2.7109375" style="57" bestFit="1" customWidth="1"/>
    <col min="2585" max="2585" width="2" style="57" bestFit="1" customWidth="1"/>
    <col min="2586" max="2586" width="7.140625" style="57" bestFit="1" customWidth="1"/>
    <col min="2587" max="2587" width="7.42578125" style="57" customWidth="1"/>
    <col min="2588" max="2588" width="0" style="57" hidden="1" customWidth="1"/>
    <col min="2589" max="2591" width="9.140625" style="57"/>
    <col min="2592" max="2611" width="0" style="57" hidden="1" customWidth="1"/>
    <col min="2612" max="2816" width="9.140625" style="57"/>
    <col min="2817" max="2817" width="15.42578125" style="57" customWidth="1"/>
    <col min="2818" max="2818" width="9.140625" style="57"/>
    <col min="2819" max="2819" width="3.42578125" style="57" bestFit="1" customWidth="1"/>
    <col min="2820" max="2820" width="2.42578125" style="57" bestFit="1" customWidth="1"/>
    <col min="2821" max="2821" width="6.5703125" style="57" bestFit="1" customWidth="1"/>
    <col min="2822" max="2822" width="2" style="57" bestFit="1" customWidth="1"/>
    <col min="2823" max="2823" width="8.140625" style="57" customWidth="1"/>
    <col min="2824" max="2824" width="2" style="57" bestFit="1" customWidth="1"/>
    <col min="2825" max="2825" width="6.5703125" style="57" bestFit="1" customWidth="1"/>
    <col min="2826" max="2826" width="2" style="57" bestFit="1" customWidth="1"/>
    <col min="2827" max="2827" width="6.5703125" style="57" bestFit="1" customWidth="1"/>
    <col min="2828" max="2828" width="2.7109375" style="57" bestFit="1" customWidth="1"/>
    <col min="2829" max="2829" width="1.7109375" style="57" bestFit="1" customWidth="1"/>
    <col min="2830" max="2830" width="6.5703125" style="57" bestFit="1" customWidth="1"/>
    <col min="2831" max="2831" width="2" style="57" bestFit="1" customWidth="1"/>
    <col min="2832" max="2832" width="6.5703125" style="57" bestFit="1" customWidth="1"/>
    <col min="2833" max="2833" width="2.7109375" style="57" bestFit="1" customWidth="1"/>
    <col min="2834" max="2834" width="1.7109375" style="57" bestFit="1" customWidth="1"/>
    <col min="2835" max="2835" width="6.5703125" style="57" bestFit="1" customWidth="1"/>
    <col min="2836" max="2836" width="2" style="57" bestFit="1" customWidth="1"/>
    <col min="2837" max="2837" width="6.5703125" style="57" bestFit="1" customWidth="1"/>
    <col min="2838" max="2838" width="2.42578125" style="57" bestFit="1" customWidth="1"/>
    <col min="2839" max="2839" width="2.42578125" style="57" customWidth="1"/>
    <col min="2840" max="2840" width="2.7109375" style="57" bestFit="1" customWidth="1"/>
    <col min="2841" max="2841" width="2" style="57" bestFit="1" customWidth="1"/>
    <col min="2842" max="2842" width="7.140625" style="57" bestFit="1" customWidth="1"/>
    <col min="2843" max="2843" width="7.42578125" style="57" customWidth="1"/>
    <col min="2844" max="2844" width="0" style="57" hidden="1" customWidth="1"/>
    <col min="2845" max="2847" width="9.140625" style="57"/>
    <col min="2848" max="2867" width="0" style="57" hidden="1" customWidth="1"/>
    <col min="2868" max="3072" width="9.140625" style="57"/>
    <col min="3073" max="3073" width="15.42578125" style="57" customWidth="1"/>
    <col min="3074" max="3074" width="9.140625" style="57"/>
    <col min="3075" max="3075" width="3.42578125" style="57" bestFit="1" customWidth="1"/>
    <col min="3076" max="3076" width="2.42578125" style="57" bestFit="1" customWidth="1"/>
    <col min="3077" max="3077" width="6.5703125" style="57" bestFit="1" customWidth="1"/>
    <col min="3078" max="3078" width="2" style="57" bestFit="1" customWidth="1"/>
    <col min="3079" max="3079" width="8.140625" style="57" customWidth="1"/>
    <col min="3080" max="3080" width="2" style="57" bestFit="1" customWidth="1"/>
    <col min="3081" max="3081" width="6.5703125" style="57" bestFit="1" customWidth="1"/>
    <col min="3082" max="3082" width="2" style="57" bestFit="1" customWidth="1"/>
    <col min="3083" max="3083" width="6.5703125" style="57" bestFit="1" customWidth="1"/>
    <col min="3084" max="3084" width="2.7109375" style="57" bestFit="1" customWidth="1"/>
    <col min="3085" max="3085" width="1.7109375" style="57" bestFit="1" customWidth="1"/>
    <col min="3086" max="3086" width="6.5703125" style="57" bestFit="1" customWidth="1"/>
    <col min="3087" max="3087" width="2" style="57" bestFit="1" customWidth="1"/>
    <col min="3088" max="3088" width="6.5703125" style="57" bestFit="1" customWidth="1"/>
    <col min="3089" max="3089" width="2.7109375" style="57" bestFit="1" customWidth="1"/>
    <col min="3090" max="3090" width="1.7109375" style="57" bestFit="1" customWidth="1"/>
    <col min="3091" max="3091" width="6.5703125" style="57" bestFit="1" customWidth="1"/>
    <col min="3092" max="3092" width="2" style="57" bestFit="1" customWidth="1"/>
    <col min="3093" max="3093" width="6.5703125" style="57" bestFit="1" customWidth="1"/>
    <col min="3094" max="3094" width="2.42578125" style="57" bestFit="1" customWidth="1"/>
    <col min="3095" max="3095" width="2.42578125" style="57" customWidth="1"/>
    <col min="3096" max="3096" width="2.7109375" style="57" bestFit="1" customWidth="1"/>
    <col min="3097" max="3097" width="2" style="57" bestFit="1" customWidth="1"/>
    <col min="3098" max="3098" width="7.140625" style="57" bestFit="1" customWidth="1"/>
    <col min="3099" max="3099" width="7.42578125" style="57" customWidth="1"/>
    <col min="3100" max="3100" width="0" style="57" hidden="1" customWidth="1"/>
    <col min="3101" max="3103" width="9.140625" style="57"/>
    <col min="3104" max="3123" width="0" style="57" hidden="1" customWidth="1"/>
    <col min="3124" max="3328" width="9.140625" style="57"/>
    <col min="3329" max="3329" width="15.42578125" style="57" customWidth="1"/>
    <col min="3330" max="3330" width="9.140625" style="57"/>
    <col min="3331" max="3331" width="3.42578125" style="57" bestFit="1" customWidth="1"/>
    <col min="3332" max="3332" width="2.42578125" style="57" bestFit="1" customWidth="1"/>
    <col min="3333" max="3333" width="6.5703125" style="57" bestFit="1" customWidth="1"/>
    <col min="3334" max="3334" width="2" style="57" bestFit="1" customWidth="1"/>
    <col min="3335" max="3335" width="8.140625" style="57" customWidth="1"/>
    <col min="3336" max="3336" width="2" style="57" bestFit="1" customWidth="1"/>
    <col min="3337" max="3337" width="6.5703125" style="57" bestFit="1" customWidth="1"/>
    <col min="3338" max="3338" width="2" style="57" bestFit="1" customWidth="1"/>
    <col min="3339" max="3339" width="6.5703125" style="57" bestFit="1" customWidth="1"/>
    <col min="3340" max="3340" width="2.7109375" style="57" bestFit="1" customWidth="1"/>
    <col min="3341" max="3341" width="1.7109375" style="57" bestFit="1" customWidth="1"/>
    <col min="3342" max="3342" width="6.5703125" style="57" bestFit="1" customWidth="1"/>
    <col min="3343" max="3343" width="2" style="57" bestFit="1" customWidth="1"/>
    <col min="3344" max="3344" width="6.5703125" style="57" bestFit="1" customWidth="1"/>
    <col min="3345" max="3345" width="2.7109375" style="57" bestFit="1" customWidth="1"/>
    <col min="3346" max="3346" width="1.7109375" style="57" bestFit="1" customWidth="1"/>
    <col min="3347" max="3347" width="6.5703125" style="57" bestFit="1" customWidth="1"/>
    <col min="3348" max="3348" width="2" style="57" bestFit="1" customWidth="1"/>
    <col min="3349" max="3349" width="6.5703125" style="57" bestFit="1" customWidth="1"/>
    <col min="3350" max="3350" width="2.42578125" style="57" bestFit="1" customWidth="1"/>
    <col min="3351" max="3351" width="2.42578125" style="57" customWidth="1"/>
    <col min="3352" max="3352" width="2.7109375" style="57" bestFit="1" customWidth="1"/>
    <col min="3353" max="3353" width="2" style="57" bestFit="1" customWidth="1"/>
    <col min="3354" max="3354" width="7.140625" style="57" bestFit="1" customWidth="1"/>
    <col min="3355" max="3355" width="7.42578125" style="57" customWidth="1"/>
    <col min="3356" max="3356" width="0" style="57" hidden="1" customWidth="1"/>
    <col min="3357" max="3359" width="9.140625" style="57"/>
    <col min="3360" max="3379" width="0" style="57" hidden="1" customWidth="1"/>
    <col min="3380" max="3584" width="9.140625" style="57"/>
    <col min="3585" max="3585" width="15.42578125" style="57" customWidth="1"/>
    <col min="3586" max="3586" width="9.140625" style="57"/>
    <col min="3587" max="3587" width="3.42578125" style="57" bestFit="1" customWidth="1"/>
    <col min="3588" max="3588" width="2.42578125" style="57" bestFit="1" customWidth="1"/>
    <col min="3589" max="3589" width="6.5703125" style="57" bestFit="1" customWidth="1"/>
    <col min="3590" max="3590" width="2" style="57" bestFit="1" customWidth="1"/>
    <col min="3591" max="3591" width="8.140625" style="57" customWidth="1"/>
    <col min="3592" max="3592" width="2" style="57" bestFit="1" customWidth="1"/>
    <col min="3593" max="3593" width="6.5703125" style="57" bestFit="1" customWidth="1"/>
    <col min="3594" max="3594" width="2" style="57" bestFit="1" customWidth="1"/>
    <col min="3595" max="3595" width="6.5703125" style="57" bestFit="1" customWidth="1"/>
    <col min="3596" max="3596" width="2.7109375" style="57" bestFit="1" customWidth="1"/>
    <col min="3597" max="3597" width="1.7109375" style="57" bestFit="1" customWidth="1"/>
    <col min="3598" max="3598" width="6.5703125" style="57" bestFit="1" customWidth="1"/>
    <col min="3599" max="3599" width="2" style="57" bestFit="1" customWidth="1"/>
    <col min="3600" max="3600" width="6.5703125" style="57" bestFit="1" customWidth="1"/>
    <col min="3601" max="3601" width="2.7109375" style="57" bestFit="1" customWidth="1"/>
    <col min="3602" max="3602" width="1.7109375" style="57" bestFit="1" customWidth="1"/>
    <col min="3603" max="3603" width="6.5703125" style="57" bestFit="1" customWidth="1"/>
    <col min="3604" max="3604" width="2" style="57" bestFit="1" customWidth="1"/>
    <col min="3605" max="3605" width="6.5703125" style="57" bestFit="1" customWidth="1"/>
    <col min="3606" max="3606" width="2.42578125" style="57" bestFit="1" customWidth="1"/>
    <col min="3607" max="3607" width="2.42578125" style="57" customWidth="1"/>
    <col min="3608" max="3608" width="2.7109375" style="57" bestFit="1" customWidth="1"/>
    <col min="3609" max="3609" width="2" style="57" bestFit="1" customWidth="1"/>
    <col min="3610" max="3610" width="7.140625" style="57" bestFit="1" customWidth="1"/>
    <col min="3611" max="3611" width="7.42578125" style="57" customWidth="1"/>
    <col min="3612" max="3612" width="0" style="57" hidden="1" customWidth="1"/>
    <col min="3613" max="3615" width="9.140625" style="57"/>
    <col min="3616" max="3635" width="0" style="57" hidden="1" customWidth="1"/>
    <col min="3636" max="3840" width="9.140625" style="57"/>
    <col min="3841" max="3841" width="15.42578125" style="57" customWidth="1"/>
    <col min="3842" max="3842" width="9.140625" style="57"/>
    <col min="3843" max="3843" width="3.42578125" style="57" bestFit="1" customWidth="1"/>
    <col min="3844" max="3844" width="2.42578125" style="57" bestFit="1" customWidth="1"/>
    <col min="3845" max="3845" width="6.5703125" style="57" bestFit="1" customWidth="1"/>
    <col min="3846" max="3846" width="2" style="57" bestFit="1" customWidth="1"/>
    <col min="3847" max="3847" width="8.140625" style="57" customWidth="1"/>
    <col min="3848" max="3848" width="2" style="57" bestFit="1" customWidth="1"/>
    <col min="3849" max="3849" width="6.5703125" style="57" bestFit="1" customWidth="1"/>
    <col min="3850" max="3850" width="2" style="57" bestFit="1" customWidth="1"/>
    <col min="3851" max="3851" width="6.5703125" style="57" bestFit="1" customWidth="1"/>
    <col min="3852" max="3852" width="2.7109375" style="57" bestFit="1" customWidth="1"/>
    <col min="3853" max="3853" width="1.7109375" style="57" bestFit="1" customWidth="1"/>
    <col min="3854" max="3854" width="6.5703125" style="57" bestFit="1" customWidth="1"/>
    <col min="3855" max="3855" width="2" style="57" bestFit="1" customWidth="1"/>
    <col min="3856" max="3856" width="6.5703125" style="57" bestFit="1" customWidth="1"/>
    <col min="3857" max="3857" width="2.7109375" style="57" bestFit="1" customWidth="1"/>
    <col min="3858" max="3858" width="1.7109375" style="57" bestFit="1" customWidth="1"/>
    <col min="3859" max="3859" width="6.5703125" style="57" bestFit="1" customWidth="1"/>
    <col min="3860" max="3860" width="2" style="57" bestFit="1" customWidth="1"/>
    <col min="3861" max="3861" width="6.5703125" style="57" bestFit="1" customWidth="1"/>
    <col min="3862" max="3862" width="2.42578125" style="57" bestFit="1" customWidth="1"/>
    <col min="3863" max="3863" width="2.42578125" style="57" customWidth="1"/>
    <col min="3864" max="3864" width="2.7109375" style="57" bestFit="1" customWidth="1"/>
    <col min="3865" max="3865" width="2" style="57" bestFit="1" customWidth="1"/>
    <col min="3866" max="3866" width="7.140625" style="57" bestFit="1" customWidth="1"/>
    <col min="3867" max="3867" width="7.42578125" style="57" customWidth="1"/>
    <col min="3868" max="3868" width="0" style="57" hidden="1" customWidth="1"/>
    <col min="3869" max="3871" width="9.140625" style="57"/>
    <col min="3872" max="3891" width="0" style="57" hidden="1" customWidth="1"/>
    <col min="3892" max="4096" width="9.140625" style="57"/>
    <col min="4097" max="4097" width="15.42578125" style="57" customWidth="1"/>
    <col min="4098" max="4098" width="9.140625" style="57"/>
    <col min="4099" max="4099" width="3.42578125" style="57" bestFit="1" customWidth="1"/>
    <col min="4100" max="4100" width="2.42578125" style="57" bestFit="1" customWidth="1"/>
    <col min="4101" max="4101" width="6.5703125" style="57" bestFit="1" customWidth="1"/>
    <col min="4102" max="4102" width="2" style="57" bestFit="1" customWidth="1"/>
    <col min="4103" max="4103" width="8.140625" style="57" customWidth="1"/>
    <col min="4104" max="4104" width="2" style="57" bestFit="1" customWidth="1"/>
    <col min="4105" max="4105" width="6.5703125" style="57" bestFit="1" customWidth="1"/>
    <col min="4106" max="4106" width="2" style="57" bestFit="1" customWidth="1"/>
    <col min="4107" max="4107" width="6.5703125" style="57" bestFit="1" customWidth="1"/>
    <col min="4108" max="4108" width="2.7109375" style="57" bestFit="1" customWidth="1"/>
    <col min="4109" max="4109" width="1.7109375" style="57" bestFit="1" customWidth="1"/>
    <col min="4110" max="4110" width="6.5703125" style="57" bestFit="1" customWidth="1"/>
    <col min="4111" max="4111" width="2" style="57" bestFit="1" customWidth="1"/>
    <col min="4112" max="4112" width="6.5703125" style="57" bestFit="1" customWidth="1"/>
    <col min="4113" max="4113" width="2.7109375" style="57" bestFit="1" customWidth="1"/>
    <col min="4114" max="4114" width="1.7109375" style="57" bestFit="1" customWidth="1"/>
    <col min="4115" max="4115" width="6.5703125" style="57" bestFit="1" customWidth="1"/>
    <col min="4116" max="4116" width="2" style="57" bestFit="1" customWidth="1"/>
    <col min="4117" max="4117" width="6.5703125" style="57" bestFit="1" customWidth="1"/>
    <col min="4118" max="4118" width="2.42578125" style="57" bestFit="1" customWidth="1"/>
    <col min="4119" max="4119" width="2.42578125" style="57" customWidth="1"/>
    <col min="4120" max="4120" width="2.7109375" style="57" bestFit="1" customWidth="1"/>
    <col min="4121" max="4121" width="2" style="57" bestFit="1" customWidth="1"/>
    <col min="4122" max="4122" width="7.140625" style="57" bestFit="1" customWidth="1"/>
    <col min="4123" max="4123" width="7.42578125" style="57" customWidth="1"/>
    <col min="4124" max="4124" width="0" style="57" hidden="1" customWidth="1"/>
    <col min="4125" max="4127" width="9.140625" style="57"/>
    <col min="4128" max="4147" width="0" style="57" hidden="1" customWidth="1"/>
    <col min="4148" max="4352" width="9.140625" style="57"/>
    <col min="4353" max="4353" width="15.42578125" style="57" customWidth="1"/>
    <col min="4354" max="4354" width="9.140625" style="57"/>
    <col min="4355" max="4355" width="3.42578125" style="57" bestFit="1" customWidth="1"/>
    <col min="4356" max="4356" width="2.42578125" style="57" bestFit="1" customWidth="1"/>
    <col min="4357" max="4357" width="6.5703125" style="57" bestFit="1" customWidth="1"/>
    <col min="4358" max="4358" width="2" style="57" bestFit="1" customWidth="1"/>
    <col min="4359" max="4359" width="8.140625" style="57" customWidth="1"/>
    <col min="4360" max="4360" width="2" style="57" bestFit="1" customWidth="1"/>
    <col min="4361" max="4361" width="6.5703125" style="57" bestFit="1" customWidth="1"/>
    <col min="4362" max="4362" width="2" style="57" bestFit="1" customWidth="1"/>
    <col min="4363" max="4363" width="6.5703125" style="57" bestFit="1" customWidth="1"/>
    <col min="4364" max="4364" width="2.7109375" style="57" bestFit="1" customWidth="1"/>
    <col min="4365" max="4365" width="1.7109375" style="57" bestFit="1" customWidth="1"/>
    <col min="4366" max="4366" width="6.5703125" style="57" bestFit="1" customWidth="1"/>
    <col min="4367" max="4367" width="2" style="57" bestFit="1" customWidth="1"/>
    <col min="4368" max="4368" width="6.5703125" style="57" bestFit="1" customWidth="1"/>
    <col min="4369" max="4369" width="2.7109375" style="57" bestFit="1" customWidth="1"/>
    <col min="4370" max="4370" width="1.7109375" style="57" bestFit="1" customWidth="1"/>
    <col min="4371" max="4371" width="6.5703125" style="57" bestFit="1" customWidth="1"/>
    <col min="4372" max="4372" width="2" style="57" bestFit="1" customWidth="1"/>
    <col min="4373" max="4373" width="6.5703125" style="57" bestFit="1" customWidth="1"/>
    <col min="4374" max="4374" width="2.42578125" style="57" bestFit="1" customWidth="1"/>
    <col min="4375" max="4375" width="2.42578125" style="57" customWidth="1"/>
    <col min="4376" max="4376" width="2.7109375" style="57" bestFit="1" customWidth="1"/>
    <col min="4377" max="4377" width="2" style="57" bestFit="1" customWidth="1"/>
    <col min="4378" max="4378" width="7.140625" style="57" bestFit="1" customWidth="1"/>
    <col min="4379" max="4379" width="7.42578125" style="57" customWidth="1"/>
    <col min="4380" max="4380" width="0" style="57" hidden="1" customWidth="1"/>
    <col min="4381" max="4383" width="9.140625" style="57"/>
    <col min="4384" max="4403" width="0" style="57" hidden="1" customWidth="1"/>
    <col min="4404" max="4608" width="9.140625" style="57"/>
    <col min="4609" max="4609" width="15.42578125" style="57" customWidth="1"/>
    <col min="4610" max="4610" width="9.140625" style="57"/>
    <col min="4611" max="4611" width="3.42578125" style="57" bestFit="1" customWidth="1"/>
    <col min="4612" max="4612" width="2.42578125" style="57" bestFit="1" customWidth="1"/>
    <col min="4613" max="4613" width="6.5703125" style="57" bestFit="1" customWidth="1"/>
    <col min="4614" max="4614" width="2" style="57" bestFit="1" customWidth="1"/>
    <col min="4615" max="4615" width="8.140625" style="57" customWidth="1"/>
    <col min="4616" max="4616" width="2" style="57" bestFit="1" customWidth="1"/>
    <col min="4617" max="4617" width="6.5703125" style="57" bestFit="1" customWidth="1"/>
    <col min="4618" max="4618" width="2" style="57" bestFit="1" customWidth="1"/>
    <col min="4619" max="4619" width="6.5703125" style="57" bestFit="1" customWidth="1"/>
    <col min="4620" max="4620" width="2.7109375" style="57" bestFit="1" customWidth="1"/>
    <col min="4621" max="4621" width="1.7109375" style="57" bestFit="1" customWidth="1"/>
    <col min="4622" max="4622" width="6.5703125" style="57" bestFit="1" customWidth="1"/>
    <col min="4623" max="4623" width="2" style="57" bestFit="1" customWidth="1"/>
    <col min="4624" max="4624" width="6.5703125" style="57" bestFit="1" customWidth="1"/>
    <col min="4625" max="4625" width="2.7109375" style="57" bestFit="1" customWidth="1"/>
    <col min="4626" max="4626" width="1.7109375" style="57" bestFit="1" customWidth="1"/>
    <col min="4627" max="4627" width="6.5703125" style="57" bestFit="1" customWidth="1"/>
    <col min="4628" max="4628" width="2" style="57" bestFit="1" customWidth="1"/>
    <col min="4629" max="4629" width="6.5703125" style="57" bestFit="1" customWidth="1"/>
    <col min="4630" max="4630" width="2.42578125" style="57" bestFit="1" customWidth="1"/>
    <col min="4631" max="4631" width="2.42578125" style="57" customWidth="1"/>
    <col min="4632" max="4632" width="2.7109375" style="57" bestFit="1" customWidth="1"/>
    <col min="4633" max="4633" width="2" style="57" bestFit="1" customWidth="1"/>
    <col min="4634" max="4634" width="7.140625" style="57" bestFit="1" customWidth="1"/>
    <col min="4635" max="4635" width="7.42578125" style="57" customWidth="1"/>
    <col min="4636" max="4636" width="0" style="57" hidden="1" customWidth="1"/>
    <col min="4637" max="4639" width="9.140625" style="57"/>
    <col min="4640" max="4659" width="0" style="57" hidden="1" customWidth="1"/>
    <col min="4660" max="4864" width="9.140625" style="57"/>
    <col min="4865" max="4865" width="15.42578125" style="57" customWidth="1"/>
    <col min="4866" max="4866" width="9.140625" style="57"/>
    <col min="4867" max="4867" width="3.42578125" style="57" bestFit="1" customWidth="1"/>
    <col min="4868" max="4868" width="2.42578125" style="57" bestFit="1" customWidth="1"/>
    <col min="4869" max="4869" width="6.5703125" style="57" bestFit="1" customWidth="1"/>
    <col min="4870" max="4870" width="2" style="57" bestFit="1" customWidth="1"/>
    <col min="4871" max="4871" width="8.140625" style="57" customWidth="1"/>
    <col min="4872" max="4872" width="2" style="57" bestFit="1" customWidth="1"/>
    <col min="4873" max="4873" width="6.5703125" style="57" bestFit="1" customWidth="1"/>
    <col min="4874" max="4874" width="2" style="57" bestFit="1" customWidth="1"/>
    <col min="4875" max="4875" width="6.5703125" style="57" bestFit="1" customWidth="1"/>
    <col min="4876" max="4876" width="2.7109375" style="57" bestFit="1" customWidth="1"/>
    <col min="4877" max="4877" width="1.7109375" style="57" bestFit="1" customWidth="1"/>
    <col min="4878" max="4878" width="6.5703125" style="57" bestFit="1" customWidth="1"/>
    <col min="4879" max="4879" width="2" style="57" bestFit="1" customWidth="1"/>
    <col min="4880" max="4880" width="6.5703125" style="57" bestFit="1" customWidth="1"/>
    <col min="4881" max="4881" width="2.7109375" style="57" bestFit="1" customWidth="1"/>
    <col min="4882" max="4882" width="1.7109375" style="57" bestFit="1" customWidth="1"/>
    <col min="4883" max="4883" width="6.5703125" style="57" bestFit="1" customWidth="1"/>
    <col min="4884" max="4884" width="2" style="57" bestFit="1" customWidth="1"/>
    <col min="4885" max="4885" width="6.5703125" style="57" bestFit="1" customWidth="1"/>
    <col min="4886" max="4886" width="2.42578125" style="57" bestFit="1" customWidth="1"/>
    <col min="4887" max="4887" width="2.42578125" style="57" customWidth="1"/>
    <col min="4888" max="4888" width="2.7109375" style="57" bestFit="1" customWidth="1"/>
    <col min="4889" max="4889" width="2" style="57" bestFit="1" customWidth="1"/>
    <col min="4890" max="4890" width="7.140625" style="57" bestFit="1" customWidth="1"/>
    <col min="4891" max="4891" width="7.42578125" style="57" customWidth="1"/>
    <col min="4892" max="4892" width="0" style="57" hidden="1" customWidth="1"/>
    <col min="4893" max="4895" width="9.140625" style="57"/>
    <col min="4896" max="4915" width="0" style="57" hidden="1" customWidth="1"/>
    <col min="4916" max="5120" width="9.140625" style="57"/>
    <col min="5121" max="5121" width="15.42578125" style="57" customWidth="1"/>
    <col min="5122" max="5122" width="9.140625" style="57"/>
    <col min="5123" max="5123" width="3.42578125" style="57" bestFit="1" customWidth="1"/>
    <col min="5124" max="5124" width="2.42578125" style="57" bestFit="1" customWidth="1"/>
    <col min="5125" max="5125" width="6.5703125" style="57" bestFit="1" customWidth="1"/>
    <col min="5126" max="5126" width="2" style="57" bestFit="1" customWidth="1"/>
    <col min="5127" max="5127" width="8.140625" style="57" customWidth="1"/>
    <col min="5128" max="5128" width="2" style="57" bestFit="1" customWidth="1"/>
    <col min="5129" max="5129" width="6.5703125" style="57" bestFit="1" customWidth="1"/>
    <col min="5130" max="5130" width="2" style="57" bestFit="1" customWidth="1"/>
    <col min="5131" max="5131" width="6.5703125" style="57" bestFit="1" customWidth="1"/>
    <col min="5132" max="5132" width="2.7109375" style="57" bestFit="1" customWidth="1"/>
    <col min="5133" max="5133" width="1.7109375" style="57" bestFit="1" customWidth="1"/>
    <col min="5134" max="5134" width="6.5703125" style="57" bestFit="1" customWidth="1"/>
    <col min="5135" max="5135" width="2" style="57" bestFit="1" customWidth="1"/>
    <col min="5136" max="5136" width="6.5703125" style="57" bestFit="1" customWidth="1"/>
    <col min="5137" max="5137" width="2.7109375" style="57" bestFit="1" customWidth="1"/>
    <col min="5138" max="5138" width="1.7109375" style="57" bestFit="1" customWidth="1"/>
    <col min="5139" max="5139" width="6.5703125" style="57" bestFit="1" customWidth="1"/>
    <col min="5140" max="5140" width="2" style="57" bestFit="1" customWidth="1"/>
    <col min="5141" max="5141" width="6.5703125" style="57" bestFit="1" customWidth="1"/>
    <col min="5142" max="5142" width="2.42578125" style="57" bestFit="1" customWidth="1"/>
    <col min="5143" max="5143" width="2.42578125" style="57" customWidth="1"/>
    <col min="5144" max="5144" width="2.7109375" style="57" bestFit="1" customWidth="1"/>
    <col min="5145" max="5145" width="2" style="57" bestFit="1" customWidth="1"/>
    <col min="5146" max="5146" width="7.140625" style="57" bestFit="1" customWidth="1"/>
    <col min="5147" max="5147" width="7.42578125" style="57" customWidth="1"/>
    <col min="5148" max="5148" width="0" style="57" hidden="1" customWidth="1"/>
    <col min="5149" max="5151" width="9.140625" style="57"/>
    <col min="5152" max="5171" width="0" style="57" hidden="1" customWidth="1"/>
    <col min="5172" max="5376" width="9.140625" style="57"/>
    <col min="5377" max="5377" width="15.42578125" style="57" customWidth="1"/>
    <col min="5378" max="5378" width="9.140625" style="57"/>
    <col min="5379" max="5379" width="3.42578125" style="57" bestFit="1" customWidth="1"/>
    <col min="5380" max="5380" width="2.42578125" style="57" bestFit="1" customWidth="1"/>
    <col min="5381" max="5381" width="6.5703125" style="57" bestFit="1" customWidth="1"/>
    <col min="5382" max="5382" width="2" style="57" bestFit="1" customWidth="1"/>
    <col min="5383" max="5383" width="8.140625" style="57" customWidth="1"/>
    <col min="5384" max="5384" width="2" style="57" bestFit="1" customWidth="1"/>
    <col min="5385" max="5385" width="6.5703125" style="57" bestFit="1" customWidth="1"/>
    <col min="5386" max="5386" width="2" style="57" bestFit="1" customWidth="1"/>
    <col min="5387" max="5387" width="6.5703125" style="57" bestFit="1" customWidth="1"/>
    <col min="5388" max="5388" width="2.7109375" style="57" bestFit="1" customWidth="1"/>
    <col min="5389" max="5389" width="1.7109375" style="57" bestFit="1" customWidth="1"/>
    <col min="5390" max="5390" width="6.5703125" style="57" bestFit="1" customWidth="1"/>
    <col min="5391" max="5391" width="2" style="57" bestFit="1" customWidth="1"/>
    <col min="5392" max="5392" width="6.5703125" style="57" bestFit="1" customWidth="1"/>
    <col min="5393" max="5393" width="2.7109375" style="57" bestFit="1" customWidth="1"/>
    <col min="5394" max="5394" width="1.7109375" style="57" bestFit="1" customWidth="1"/>
    <col min="5395" max="5395" width="6.5703125" style="57" bestFit="1" customWidth="1"/>
    <col min="5396" max="5396" width="2" style="57" bestFit="1" customWidth="1"/>
    <col min="5397" max="5397" width="6.5703125" style="57" bestFit="1" customWidth="1"/>
    <col min="5398" max="5398" width="2.42578125" style="57" bestFit="1" customWidth="1"/>
    <col min="5399" max="5399" width="2.42578125" style="57" customWidth="1"/>
    <col min="5400" max="5400" width="2.7109375" style="57" bestFit="1" customWidth="1"/>
    <col min="5401" max="5401" width="2" style="57" bestFit="1" customWidth="1"/>
    <col min="5402" max="5402" width="7.140625" style="57" bestFit="1" customWidth="1"/>
    <col min="5403" max="5403" width="7.42578125" style="57" customWidth="1"/>
    <col min="5404" max="5404" width="0" style="57" hidden="1" customWidth="1"/>
    <col min="5405" max="5407" width="9.140625" style="57"/>
    <col min="5408" max="5427" width="0" style="57" hidden="1" customWidth="1"/>
    <col min="5428" max="5632" width="9.140625" style="57"/>
    <col min="5633" max="5633" width="15.42578125" style="57" customWidth="1"/>
    <col min="5634" max="5634" width="9.140625" style="57"/>
    <col min="5635" max="5635" width="3.42578125" style="57" bestFit="1" customWidth="1"/>
    <col min="5636" max="5636" width="2.42578125" style="57" bestFit="1" customWidth="1"/>
    <col min="5637" max="5637" width="6.5703125" style="57" bestFit="1" customWidth="1"/>
    <col min="5638" max="5638" width="2" style="57" bestFit="1" customWidth="1"/>
    <col min="5639" max="5639" width="8.140625" style="57" customWidth="1"/>
    <col min="5640" max="5640" width="2" style="57" bestFit="1" customWidth="1"/>
    <col min="5641" max="5641" width="6.5703125" style="57" bestFit="1" customWidth="1"/>
    <col min="5642" max="5642" width="2" style="57" bestFit="1" customWidth="1"/>
    <col min="5643" max="5643" width="6.5703125" style="57" bestFit="1" customWidth="1"/>
    <col min="5644" max="5644" width="2.7109375" style="57" bestFit="1" customWidth="1"/>
    <col min="5645" max="5645" width="1.7109375" style="57" bestFit="1" customWidth="1"/>
    <col min="5646" max="5646" width="6.5703125" style="57" bestFit="1" customWidth="1"/>
    <col min="5647" max="5647" width="2" style="57" bestFit="1" customWidth="1"/>
    <col min="5648" max="5648" width="6.5703125" style="57" bestFit="1" customWidth="1"/>
    <col min="5649" max="5649" width="2.7109375" style="57" bestFit="1" customWidth="1"/>
    <col min="5650" max="5650" width="1.7109375" style="57" bestFit="1" customWidth="1"/>
    <col min="5651" max="5651" width="6.5703125" style="57" bestFit="1" customWidth="1"/>
    <col min="5652" max="5652" width="2" style="57" bestFit="1" customWidth="1"/>
    <col min="5653" max="5653" width="6.5703125" style="57" bestFit="1" customWidth="1"/>
    <col min="5654" max="5654" width="2.42578125" style="57" bestFit="1" customWidth="1"/>
    <col min="5655" max="5655" width="2.42578125" style="57" customWidth="1"/>
    <col min="5656" max="5656" width="2.7109375" style="57" bestFit="1" customWidth="1"/>
    <col min="5657" max="5657" width="2" style="57" bestFit="1" customWidth="1"/>
    <col min="5658" max="5658" width="7.140625" style="57" bestFit="1" customWidth="1"/>
    <col min="5659" max="5659" width="7.42578125" style="57" customWidth="1"/>
    <col min="5660" max="5660" width="0" style="57" hidden="1" customWidth="1"/>
    <col min="5661" max="5663" width="9.140625" style="57"/>
    <col min="5664" max="5683" width="0" style="57" hidden="1" customWidth="1"/>
    <col min="5684" max="5888" width="9.140625" style="57"/>
    <col min="5889" max="5889" width="15.42578125" style="57" customWidth="1"/>
    <col min="5890" max="5890" width="9.140625" style="57"/>
    <col min="5891" max="5891" width="3.42578125" style="57" bestFit="1" customWidth="1"/>
    <col min="5892" max="5892" width="2.42578125" style="57" bestFit="1" customWidth="1"/>
    <col min="5893" max="5893" width="6.5703125" style="57" bestFit="1" customWidth="1"/>
    <col min="5894" max="5894" width="2" style="57" bestFit="1" customWidth="1"/>
    <col min="5895" max="5895" width="8.140625" style="57" customWidth="1"/>
    <col min="5896" max="5896" width="2" style="57" bestFit="1" customWidth="1"/>
    <col min="5897" max="5897" width="6.5703125" style="57" bestFit="1" customWidth="1"/>
    <col min="5898" max="5898" width="2" style="57" bestFit="1" customWidth="1"/>
    <col min="5899" max="5899" width="6.5703125" style="57" bestFit="1" customWidth="1"/>
    <col min="5900" max="5900" width="2.7109375" style="57" bestFit="1" customWidth="1"/>
    <col min="5901" max="5901" width="1.7109375" style="57" bestFit="1" customWidth="1"/>
    <col min="5902" max="5902" width="6.5703125" style="57" bestFit="1" customWidth="1"/>
    <col min="5903" max="5903" width="2" style="57" bestFit="1" customWidth="1"/>
    <col min="5904" max="5904" width="6.5703125" style="57" bestFit="1" customWidth="1"/>
    <col min="5905" max="5905" width="2.7109375" style="57" bestFit="1" customWidth="1"/>
    <col min="5906" max="5906" width="1.7109375" style="57" bestFit="1" customWidth="1"/>
    <col min="5907" max="5907" width="6.5703125" style="57" bestFit="1" customWidth="1"/>
    <col min="5908" max="5908" width="2" style="57" bestFit="1" customWidth="1"/>
    <col min="5909" max="5909" width="6.5703125" style="57" bestFit="1" customWidth="1"/>
    <col min="5910" max="5910" width="2.42578125" style="57" bestFit="1" customWidth="1"/>
    <col min="5911" max="5911" width="2.42578125" style="57" customWidth="1"/>
    <col min="5912" max="5912" width="2.7109375" style="57" bestFit="1" customWidth="1"/>
    <col min="5913" max="5913" width="2" style="57" bestFit="1" customWidth="1"/>
    <col min="5914" max="5914" width="7.140625" style="57" bestFit="1" customWidth="1"/>
    <col min="5915" max="5915" width="7.42578125" style="57" customWidth="1"/>
    <col min="5916" max="5916" width="0" style="57" hidden="1" customWidth="1"/>
    <col min="5917" max="5919" width="9.140625" style="57"/>
    <col min="5920" max="5939" width="0" style="57" hidden="1" customWidth="1"/>
    <col min="5940" max="6144" width="9.140625" style="57"/>
    <col min="6145" max="6145" width="15.42578125" style="57" customWidth="1"/>
    <col min="6146" max="6146" width="9.140625" style="57"/>
    <col min="6147" max="6147" width="3.42578125" style="57" bestFit="1" customWidth="1"/>
    <col min="6148" max="6148" width="2.42578125" style="57" bestFit="1" customWidth="1"/>
    <col min="6149" max="6149" width="6.5703125" style="57" bestFit="1" customWidth="1"/>
    <col min="6150" max="6150" width="2" style="57" bestFit="1" customWidth="1"/>
    <col min="6151" max="6151" width="8.140625" style="57" customWidth="1"/>
    <col min="6152" max="6152" width="2" style="57" bestFit="1" customWidth="1"/>
    <col min="6153" max="6153" width="6.5703125" style="57" bestFit="1" customWidth="1"/>
    <col min="6154" max="6154" width="2" style="57" bestFit="1" customWidth="1"/>
    <col min="6155" max="6155" width="6.5703125" style="57" bestFit="1" customWidth="1"/>
    <col min="6156" max="6156" width="2.7109375" style="57" bestFit="1" customWidth="1"/>
    <col min="6157" max="6157" width="1.7109375" style="57" bestFit="1" customWidth="1"/>
    <col min="6158" max="6158" width="6.5703125" style="57" bestFit="1" customWidth="1"/>
    <col min="6159" max="6159" width="2" style="57" bestFit="1" customWidth="1"/>
    <col min="6160" max="6160" width="6.5703125" style="57" bestFit="1" customWidth="1"/>
    <col min="6161" max="6161" width="2.7109375" style="57" bestFit="1" customWidth="1"/>
    <col min="6162" max="6162" width="1.7109375" style="57" bestFit="1" customWidth="1"/>
    <col min="6163" max="6163" width="6.5703125" style="57" bestFit="1" customWidth="1"/>
    <col min="6164" max="6164" width="2" style="57" bestFit="1" customWidth="1"/>
    <col min="6165" max="6165" width="6.5703125" style="57" bestFit="1" customWidth="1"/>
    <col min="6166" max="6166" width="2.42578125" style="57" bestFit="1" customWidth="1"/>
    <col min="6167" max="6167" width="2.42578125" style="57" customWidth="1"/>
    <col min="6168" max="6168" width="2.7109375" style="57" bestFit="1" customWidth="1"/>
    <col min="6169" max="6169" width="2" style="57" bestFit="1" customWidth="1"/>
    <col min="6170" max="6170" width="7.140625" style="57" bestFit="1" customWidth="1"/>
    <col min="6171" max="6171" width="7.42578125" style="57" customWidth="1"/>
    <col min="6172" max="6172" width="0" style="57" hidden="1" customWidth="1"/>
    <col min="6173" max="6175" width="9.140625" style="57"/>
    <col min="6176" max="6195" width="0" style="57" hidden="1" customWidth="1"/>
    <col min="6196" max="6400" width="9.140625" style="57"/>
    <col min="6401" max="6401" width="15.42578125" style="57" customWidth="1"/>
    <col min="6402" max="6402" width="9.140625" style="57"/>
    <col min="6403" max="6403" width="3.42578125" style="57" bestFit="1" customWidth="1"/>
    <col min="6404" max="6404" width="2.42578125" style="57" bestFit="1" customWidth="1"/>
    <col min="6405" max="6405" width="6.5703125" style="57" bestFit="1" customWidth="1"/>
    <col min="6406" max="6406" width="2" style="57" bestFit="1" customWidth="1"/>
    <col min="6407" max="6407" width="8.140625" style="57" customWidth="1"/>
    <col min="6408" max="6408" width="2" style="57" bestFit="1" customWidth="1"/>
    <col min="6409" max="6409" width="6.5703125" style="57" bestFit="1" customWidth="1"/>
    <col min="6410" max="6410" width="2" style="57" bestFit="1" customWidth="1"/>
    <col min="6411" max="6411" width="6.5703125" style="57" bestFit="1" customWidth="1"/>
    <col min="6412" max="6412" width="2.7109375" style="57" bestFit="1" customWidth="1"/>
    <col min="6413" max="6413" width="1.7109375" style="57" bestFit="1" customWidth="1"/>
    <col min="6414" max="6414" width="6.5703125" style="57" bestFit="1" customWidth="1"/>
    <col min="6415" max="6415" width="2" style="57" bestFit="1" customWidth="1"/>
    <col min="6416" max="6416" width="6.5703125" style="57" bestFit="1" customWidth="1"/>
    <col min="6417" max="6417" width="2.7109375" style="57" bestFit="1" customWidth="1"/>
    <col min="6418" max="6418" width="1.7109375" style="57" bestFit="1" customWidth="1"/>
    <col min="6419" max="6419" width="6.5703125" style="57" bestFit="1" customWidth="1"/>
    <col min="6420" max="6420" width="2" style="57" bestFit="1" customWidth="1"/>
    <col min="6421" max="6421" width="6.5703125" style="57" bestFit="1" customWidth="1"/>
    <col min="6422" max="6422" width="2.42578125" style="57" bestFit="1" customWidth="1"/>
    <col min="6423" max="6423" width="2.42578125" style="57" customWidth="1"/>
    <col min="6424" max="6424" width="2.7109375" style="57" bestFit="1" customWidth="1"/>
    <col min="6425" max="6425" width="2" style="57" bestFit="1" customWidth="1"/>
    <col min="6426" max="6426" width="7.140625" style="57" bestFit="1" customWidth="1"/>
    <col min="6427" max="6427" width="7.42578125" style="57" customWidth="1"/>
    <col min="6428" max="6428" width="0" style="57" hidden="1" customWidth="1"/>
    <col min="6429" max="6431" width="9.140625" style="57"/>
    <col min="6432" max="6451" width="0" style="57" hidden="1" customWidth="1"/>
    <col min="6452" max="6656" width="9.140625" style="57"/>
    <col min="6657" max="6657" width="15.42578125" style="57" customWidth="1"/>
    <col min="6658" max="6658" width="9.140625" style="57"/>
    <col min="6659" max="6659" width="3.42578125" style="57" bestFit="1" customWidth="1"/>
    <col min="6660" max="6660" width="2.42578125" style="57" bestFit="1" customWidth="1"/>
    <col min="6661" max="6661" width="6.5703125" style="57" bestFit="1" customWidth="1"/>
    <col min="6662" max="6662" width="2" style="57" bestFit="1" customWidth="1"/>
    <col min="6663" max="6663" width="8.140625" style="57" customWidth="1"/>
    <col min="6664" max="6664" width="2" style="57" bestFit="1" customWidth="1"/>
    <col min="6665" max="6665" width="6.5703125" style="57" bestFit="1" customWidth="1"/>
    <col min="6666" max="6666" width="2" style="57" bestFit="1" customWidth="1"/>
    <col min="6667" max="6667" width="6.5703125" style="57" bestFit="1" customWidth="1"/>
    <col min="6668" max="6668" width="2.7109375" style="57" bestFit="1" customWidth="1"/>
    <col min="6669" max="6669" width="1.7109375" style="57" bestFit="1" customWidth="1"/>
    <col min="6670" max="6670" width="6.5703125" style="57" bestFit="1" customWidth="1"/>
    <col min="6671" max="6671" width="2" style="57" bestFit="1" customWidth="1"/>
    <col min="6672" max="6672" width="6.5703125" style="57" bestFit="1" customWidth="1"/>
    <col min="6673" max="6673" width="2.7109375" style="57" bestFit="1" customWidth="1"/>
    <col min="6674" max="6674" width="1.7109375" style="57" bestFit="1" customWidth="1"/>
    <col min="6675" max="6675" width="6.5703125" style="57" bestFit="1" customWidth="1"/>
    <col min="6676" max="6676" width="2" style="57" bestFit="1" customWidth="1"/>
    <col min="6677" max="6677" width="6.5703125" style="57" bestFit="1" customWidth="1"/>
    <col min="6678" max="6678" width="2.42578125" style="57" bestFit="1" customWidth="1"/>
    <col min="6679" max="6679" width="2.42578125" style="57" customWidth="1"/>
    <col min="6680" max="6680" width="2.7109375" style="57" bestFit="1" customWidth="1"/>
    <col min="6681" max="6681" width="2" style="57" bestFit="1" customWidth="1"/>
    <col min="6682" max="6682" width="7.140625" style="57" bestFit="1" customWidth="1"/>
    <col min="6683" max="6683" width="7.42578125" style="57" customWidth="1"/>
    <col min="6684" max="6684" width="0" style="57" hidden="1" customWidth="1"/>
    <col min="6685" max="6687" width="9.140625" style="57"/>
    <col min="6688" max="6707" width="0" style="57" hidden="1" customWidth="1"/>
    <col min="6708" max="6912" width="9.140625" style="57"/>
    <col min="6913" max="6913" width="15.42578125" style="57" customWidth="1"/>
    <col min="6914" max="6914" width="9.140625" style="57"/>
    <col min="6915" max="6915" width="3.42578125" style="57" bestFit="1" customWidth="1"/>
    <col min="6916" max="6916" width="2.42578125" style="57" bestFit="1" customWidth="1"/>
    <col min="6917" max="6917" width="6.5703125" style="57" bestFit="1" customWidth="1"/>
    <col min="6918" max="6918" width="2" style="57" bestFit="1" customWidth="1"/>
    <col min="6919" max="6919" width="8.140625" style="57" customWidth="1"/>
    <col min="6920" max="6920" width="2" style="57" bestFit="1" customWidth="1"/>
    <col min="6921" max="6921" width="6.5703125" style="57" bestFit="1" customWidth="1"/>
    <col min="6922" max="6922" width="2" style="57" bestFit="1" customWidth="1"/>
    <col min="6923" max="6923" width="6.5703125" style="57" bestFit="1" customWidth="1"/>
    <col min="6924" max="6924" width="2.7109375" style="57" bestFit="1" customWidth="1"/>
    <col min="6925" max="6925" width="1.7109375" style="57" bestFit="1" customWidth="1"/>
    <col min="6926" max="6926" width="6.5703125" style="57" bestFit="1" customWidth="1"/>
    <col min="6927" max="6927" width="2" style="57" bestFit="1" customWidth="1"/>
    <col min="6928" max="6928" width="6.5703125" style="57" bestFit="1" customWidth="1"/>
    <col min="6929" max="6929" width="2.7109375" style="57" bestFit="1" customWidth="1"/>
    <col min="6930" max="6930" width="1.7109375" style="57" bestFit="1" customWidth="1"/>
    <col min="6931" max="6931" width="6.5703125" style="57" bestFit="1" customWidth="1"/>
    <col min="6932" max="6932" width="2" style="57" bestFit="1" customWidth="1"/>
    <col min="6933" max="6933" width="6.5703125" style="57" bestFit="1" customWidth="1"/>
    <col min="6934" max="6934" width="2.42578125" style="57" bestFit="1" customWidth="1"/>
    <col min="6935" max="6935" width="2.42578125" style="57" customWidth="1"/>
    <col min="6936" max="6936" width="2.7109375" style="57" bestFit="1" customWidth="1"/>
    <col min="6937" max="6937" width="2" style="57" bestFit="1" customWidth="1"/>
    <col min="6938" max="6938" width="7.140625" style="57" bestFit="1" customWidth="1"/>
    <col min="6939" max="6939" width="7.42578125" style="57" customWidth="1"/>
    <col min="6940" max="6940" width="0" style="57" hidden="1" customWidth="1"/>
    <col min="6941" max="6943" width="9.140625" style="57"/>
    <col min="6944" max="6963" width="0" style="57" hidden="1" customWidth="1"/>
    <col min="6964" max="7168" width="9.140625" style="57"/>
    <col min="7169" max="7169" width="15.42578125" style="57" customWidth="1"/>
    <col min="7170" max="7170" width="9.140625" style="57"/>
    <col min="7171" max="7171" width="3.42578125" style="57" bestFit="1" customWidth="1"/>
    <col min="7172" max="7172" width="2.42578125" style="57" bestFit="1" customWidth="1"/>
    <col min="7173" max="7173" width="6.5703125" style="57" bestFit="1" customWidth="1"/>
    <col min="7174" max="7174" width="2" style="57" bestFit="1" customWidth="1"/>
    <col min="7175" max="7175" width="8.140625" style="57" customWidth="1"/>
    <col min="7176" max="7176" width="2" style="57" bestFit="1" customWidth="1"/>
    <col min="7177" max="7177" width="6.5703125" style="57" bestFit="1" customWidth="1"/>
    <col min="7178" max="7178" width="2" style="57" bestFit="1" customWidth="1"/>
    <col min="7179" max="7179" width="6.5703125" style="57" bestFit="1" customWidth="1"/>
    <col min="7180" max="7180" width="2.7109375" style="57" bestFit="1" customWidth="1"/>
    <col min="7181" max="7181" width="1.7109375" style="57" bestFit="1" customWidth="1"/>
    <col min="7182" max="7182" width="6.5703125" style="57" bestFit="1" customWidth="1"/>
    <col min="7183" max="7183" width="2" style="57" bestFit="1" customWidth="1"/>
    <col min="7184" max="7184" width="6.5703125" style="57" bestFit="1" customWidth="1"/>
    <col min="7185" max="7185" width="2.7109375" style="57" bestFit="1" customWidth="1"/>
    <col min="7186" max="7186" width="1.7109375" style="57" bestFit="1" customWidth="1"/>
    <col min="7187" max="7187" width="6.5703125" style="57" bestFit="1" customWidth="1"/>
    <col min="7188" max="7188" width="2" style="57" bestFit="1" customWidth="1"/>
    <col min="7189" max="7189" width="6.5703125" style="57" bestFit="1" customWidth="1"/>
    <col min="7190" max="7190" width="2.42578125" style="57" bestFit="1" customWidth="1"/>
    <col min="7191" max="7191" width="2.42578125" style="57" customWidth="1"/>
    <col min="7192" max="7192" width="2.7109375" style="57" bestFit="1" customWidth="1"/>
    <col min="7193" max="7193" width="2" style="57" bestFit="1" customWidth="1"/>
    <col min="7194" max="7194" width="7.140625" style="57" bestFit="1" customWidth="1"/>
    <col min="7195" max="7195" width="7.42578125" style="57" customWidth="1"/>
    <col min="7196" max="7196" width="0" style="57" hidden="1" customWidth="1"/>
    <col min="7197" max="7199" width="9.140625" style="57"/>
    <col min="7200" max="7219" width="0" style="57" hidden="1" customWidth="1"/>
    <col min="7220" max="7424" width="9.140625" style="57"/>
    <col min="7425" max="7425" width="15.42578125" style="57" customWidth="1"/>
    <col min="7426" max="7426" width="9.140625" style="57"/>
    <col min="7427" max="7427" width="3.42578125" style="57" bestFit="1" customWidth="1"/>
    <col min="7428" max="7428" width="2.42578125" style="57" bestFit="1" customWidth="1"/>
    <col min="7429" max="7429" width="6.5703125" style="57" bestFit="1" customWidth="1"/>
    <col min="7430" max="7430" width="2" style="57" bestFit="1" customWidth="1"/>
    <col min="7431" max="7431" width="8.140625" style="57" customWidth="1"/>
    <col min="7432" max="7432" width="2" style="57" bestFit="1" customWidth="1"/>
    <col min="7433" max="7433" width="6.5703125" style="57" bestFit="1" customWidth="1"/>
    <col min="7434" max="7434" width="2" style="57" bestFit="1" customWidth="1"/>
    <col min="7435" max="7435" width="6.5703125" style="57" bestFit="1" customWidth="1"/>
    <col min="7436" max="7436" width="2.7109375" style="57" bestFit="1" customWidth="1"/>
    <col min="7437" max="7437" width="1.7109375" style="57" bestFit="1" customWidth="1"/>
    <col min="7438" max="7438" width="6.5703125" style="57" bestFit="1" customWidth="1"/>
    <col min="7439" max="7439" width="2" style="57" bestFit="1" customWidth="1"/>
    <col min="7440" max="7440" width="6.5703125" style="57" bestFit="1" customWidth="1"/>
    <col min="7441" max="7441" width="2.7109375" style="57" bestFit="1" customWidth="1"/>
    <col min="7442" max="7442" width="1.7109375" style="57" bestFit="1" customWidth="1"/>
    <col min="7443" max="7443" width="6.5703125" style="57" bestFit="1" customWidth="1"/>
    <col min="7444" max="7444" width="2" style="57" bestFit="1" customWidth="1"/>
    <col min="7445" max="7445" width="6.5703125" style="57" bestFit="1" customWidth="1"/>
    <col min="7446" max="7446" width="2.42578125" style="57" bestFit="1" customWidth="1"/>
    <col min="7447" max="7447" width="2.42578125" style="57" customWidth="1"/>
    <col min="7448" max="7448" width="2.7109375" style="57" bestFit="1" customWidth="1"/>
    <col min="7449" max="7449" width="2" style="57" bestFit="1" customWidth="1"/>
    <col min="7450" max="7450" width="7.140625" style="57" bestFit="1" customWidth="1"/>
    <col min="7451" max="7451" width="7.42578125" style="57" customWidth="1"/>
    <col min="7452" max="7452" width="0" style="57" hidden="1" customWidth="1"/>
    <col min="7453" max="7455" width="9.140625" style="57"/>
    <col min="7456" max="7475" width="0" style="57" hidden="1" customWidth="1"/>
    <col min="7476" max="7680" width="9.140625" style="57"/>
    <col min="7681" max="7681" width="15.42578125" style="57" customWidth="1"/>
    <col min="7682" max="7682" width="9.140625" style="57"/>
    <col min="7683" max="7683" width="3.42578125" style="57" bestFit="1" customWidth="1"/>
    <col min="7684" max="7684" width="2.42578125" style="57" bestFit="1" customWidth="1"/>
    <col min="7685" max="7685" width="6.5703125" style="57" bestFit="1" customWidth="1"/>
    <col min="7686" max="7686" width="2" style="57" bestFit="1" customWidth="1"/>
    <col min="7687" max="7687" width="8.140625" style="57" customWidth="1"/>
    <col min="7688" max="7688" width="2" style="57" bestFit="1" customWidth="1"/>
    <col min="7689" max="7689" width="6.5703125" style="57" bestFit="1" customWidth="1"/>
    <col min="7690" max="7690" width="2" style="57" bestFit="1" customWidth="1"/>
    <col min="7691" max="7691" width="6.5703125" style="57" bestFit="1" customWidth="1"/>
    <col min="7692" max="7692" width="2.7109375" style="57" bestFit="1" customWidth="1"/>
    <col min="7693" max="7693" width="1.7109375" style="57" bestFit="1" customWidth="1"/>
    <col min="7694" max="7694" width="6.5703125" style="57" bestFit="1" customWidth="1"/>
    <col min="7695" max="7695" width="2" style="57" bestFit="1" customWidth="1"/>
    <col min="7696" max="7696" width="6.5703125" style="57" bestFit="1" customWidth="1"/>
    <col min="7697" max="7697" width="2.7109375" style="57" bestFit="1" customWidth="1"/>
    <col min="7698" max="7698" width="1.7109375" style="57" bestFit="1" customWidth="1"/>
    <col min="7699" max="7699" width="6.5703125" style="57" bestFit="1" customWidth="1"/>
    <col min="7700" max="7700" width="2" style="57" bestFit="1" customWidth="1"/>
    <col min="7701" max="7701" width="6.5703125" style="57" bestFit="1" customWidth="1"/>
    <col min="7702" max="7702" width="2.42578125" style="57" bestFit="1" customWidth="1"/>
    <col min="7703" max="7703" width="2.42578125" style="57" customWidth="1"/>
    <col min="7704" max="7704" width="2.7109375" style="57" bestFit="1" customWidth="1"/>
    <col min="7705" max="7705" width="2" style="57" bestFit="1" customWidth="1"/>
    <col min="7706" max="7706" width="7.140625" style="57" bestFit="1" customWidth="1"/>
    <col min="7707" max="7707" width="7.42578125" style="57" customWidth="1"/>
    <col min="7708" max="7708" width="0" style="57" hidden="1" customWidth="1"/>
    <col min="7709" max="7711" width="9.140625" style="57"/>
    <col min="7712" max="7731" width="0" style="57" hidden="1" customWidth="1"/>
    <col min="7732" max="7936" width="9.140625" style="57"/>
    <col min="7937" max="7937" width="15.42578125" style="57" customWidth="1"/>
    <col min="7938" max="7938" width="9.140625" style="57"/>
    <col min="7939" max="7939" width="3.42578125" style="57" bestFit="1" customWidth="1"/>
    <col min="7940" max="7940" width="2.42578125" style="57" bestFit="1" customWidth="1"/>
    <col min="7941" max="7941" width="6.5703125" style="57" bestFit="1" customWidth="1"/>
    <col min="7942" max="7942" width="2" style="57" bestFit="1" customWidth="1"/>
    <col min="7943" max="7943" width="8.140625" style="57" customWidth="1"/>
    <col min="7944" max="7944" width="2" style="57" bestFit="1" customWidth="1"/>
    <col min="7945" max="7945" width="6.5703125" style="57" bestFit="1" customWidth="1"/>
    <col min="7946" max="7946" width="2" style="57" bestFit="1" customWidth="1"/>
    <col min="7947" max="7947" width="6.5703125" style="57" bestFit="1" customWidth="1"/>
    <col min="7948" max="7948" width="2.7109375" style="57" bestFit="1" customWidth="1"/>
    <col min="7949" max="7949" width="1.7109375" style="57" bestFit="1" customWidth="1"/>
    <col min="7950" max="7950" width="6.5703125" style="57" bestFit="1" customWidth="1"/>
    <col min="7951" max="7951" width="2" style="57" bestFit="1" customWidth="1"/>
    <col min="7952" max="7952" width="6.5703125" style="57" bestFit="1" customWidth="1"/>
    <col min="7953" max="7953" width="2.7109375" style="57" bestFit="1" customWidth="1"/>
    <col min="7954" max="7954" width="1.7109375" style="57" bestFit="1" customWidth="1"/>
    <col min="7955" max="7955" width="6.5703125" style="57" bestFit="1" customWidth="1"/>
    <col min="7956" max="7956" width="2" style="57" bestFit="1" customWidth="1"/>
    <col min="7957" max="7957" width="6.5703125" style="57" bestFit="1" customWidth="1"/>
    <col min="7958" max="7958" width="2.42578125" style="57" bestFit="1" customWidth="1"/>
    <col min="7959" max="7959" width="2.42578125" style="57" customWidth="1"/>
    <col min="7960" max="7960" width="2.7109375" style="57" bestFit="1" customWidth="1"/>
    <col min="7961" max="7961" width="2" style="57" bestFit="1" customWidth="1"/>
    <col min="7962" max="7962" width="7.140625" style="57" bestFit="1" customWidth="1"/>
    <col min="7963" max="7963" width="7.42578125" style="57" customWidth="1"/>
    <col min="7964" max="7964" width="0" style="57" hidden="1" customWidth="1"/>
    <col min="7965" max="7967" width="9.140625" style="57"/>
    <col min="7968" max="7987" width="0" style="57" hidden="1" customWidth="1"/>
    <col min="7988" max="8192" width="9.140625" style="57"/>
    <col min="8193" max="8193" width="15.42578125" style="57" customWidth="1"/>
    <col min="8194" max="8194" width="9.140625" style="57"/>
    <col min="8195" max="8195" width="3.42578125" style="57" bestFit="1" customWidth="1"/>
    <col min="8196" max="8196" width="2.42578125" style="57" bestFit="1" customWidth="1"/>
    <col min="8197" max="8197" width="6.5703125" style="57" bestFit="1" customWidth="1"/>
    <col min="8198" max="8198" width="2" style="57" bestFit="1" customWidth="1"/>
    <col min="8199" max="8199" width="8.140625" style="57" customWidth="1"/>
    <col min="8200" max="8200" width="2" style="57" bestFit="1" customWidth="1"/>
    <col min="8201" max="8201" width="6.5703125" style="57" bestFit="1" customWidth="1"/>
    <col min="8202" max="8202" width="2" style="57" bestFit="1" customWidth="1"/>
    <col min="8203" max="8203" width="6.5703125" style="57" bestFit="1" customWidth="1"/>
    <col min="8204" max="8204" width="2.7109375" style="57" bestFit="1" customWidth="1"/>
    <col min="8205" max="8205" width="1.7109375" style="57" bestFit="1" customWidth="1"/>
    <col min="8206" max="8206" width="6.5703125" style="57" bestFit="1" customWidth="1"/>
    <col min="8207" max="8207" width="2" style="57" bestFit="1" customWidth="1"/>
    <col min="8208" max="8208" width="6.5703125" style="57" bestFit="1" customWidth="1"/>
    <col min="8209" max="8209" width="2.7109375" style="57" bestFit="1" customWidth="1"/>
    <col min="8210" max="8210" width="1.7109375" style="57" bestFit="1" customWidth="1"/>
    <col min="8211" max="8211" width="6.5703125" style="57" bestFit="1" customWidth="1"/>
    <col min="8212" max="8212" width="2" style="57" bestFit="1" customWidth="1"/>
    <col min="8213" max="8213" width="6.5703125" style="57" bestFit="1" customWidth="1"/>
    <col min="8214" max="8214" width="2.42578125" style="57" bestFit="1" customWidth="1"/>
    <col min="8215" max="8215" width="2.42578125" style="57" customWidth="1"/>
    <col min="8216" max="8216" width="2.7109375" style="57" bestFit="1" customWidth="1"/>
    <col min="8217" max="8217" width="2" style="57" bestFit="1" customWidth="1"/>
    <col min="8218" max="8218" width="7.140625" style="57" bestFit="1" customWidth="1"/>
    <col min="8219" max="8219" width="7.42578125" style="57" customWidth="1"/>
    <col min="8220" max="8220" width="0" style="57" hidden="1" customWidth="1"/>
    <col min="8221" max="8223" width="9.140625" style="57"/>
    <col min="8224" max="8243" width="0" style="57" hidden="1" customWidth="1"/>
    <col min="8244" max="8448" width="9.140625" style="57"/>
    <col min="8449" max="8449" width="15.42578125" style="57" customWidth="1"/>
    <col min="8450" max="8450" width="9.140625" style="57"/>
    <col min="8451" max="8451" width="3.42578125" style="57" bestFit="1" customWidth="1"/>
    <col min="8452" max="8452" width="2.42578125" style="57" bestFit="1" customWidth="1"/>
    <col min="8453" max="8453" width="6.5703125" style="57" bestFit="1" customWidth="1"/>
    <col min="8454" max="8454" width="2" style="57" bestFit="1" customWidth="1"/>
    <col min="8455" max="8455" width="8.140625" style="57" customWidth="1"/>
    <col min="8456" max="8456" width="2" style="57" bestFit="1" customWidth="1"/>
    <col min="8457" max="8457" width="6.5703125" style="57" bestFit="1" customWidth="1"/>
    <col min="8458" max="8458" width="2" style="57" bestFit="1" customWidth="1"/>
    <col min="8459" max="8459" width="6.5703125" style="57" bestFit="1" customWidth="1"/>
    <col min="8460" max="8460" width="2.7109375" style="57" bestFit="1" customWidth="1"/>
    <col min="8461" max="8461" width="1.7109375" style="57" bestFit="1" customWidth="1"/>
    <col min="8462" max="8462" width="6.5703125" style="57" bestFit="1" customWidth="1"/>
    <col min="8463" max="8463" width="2" style="57" bestFit="1" customWidth="1"/>
    <col min="8464" max="8464" width="6.5703125" style="57" bestFit="1" customWidth="1"/>
    <col min="8465" max="8465" width="2.7109375" style="57" bestFit="1" customWidth="1"/>
    <col min="8466" max="8466" width="1.7109375" style="57" bestFit="1" customWidth="1"/>
    <col min="8467" max="8467" width="6.5703125" style="57" bestFit="1" customWidth="1"/>
    <col min="8468" max="8468" width="2" style="57" bestFit="1" customWidth="1"/>
    <col min="8469" max="8469" width="6.5703125" style="57" bestFit="1" customWidth="1"/>
    <col min="8470" max="8470" width="2.42578125" style="57" bestFit="1" customWidth="1"/>
    <col min="8471" max="8471" width="2.42578125" style="57" customWidth="1"/>
    <col min="8472" max="8472" width="2.7109375" style="57" bestFit="1" customWidth="1"/>
    <col min="8473" max="8473" width="2" style="57" bestFit="1" customWidth="1"/>
    <col min="8474" max="8474" width="7.140625" style="57" bestFit="1" customWidth="1"/>
    <col min="8475" max="8475" width="7.42578125" style="57" customWidth="1"/>
    <col min="8476" max="8476" width="0" style="57" hidden="1" customWidth="1"/>
    <col min="8477" max="8479" width="9.140625" style="57"/>
    <col min="8480" max="8499" width="0" style="57" hidden="1" customWidth="1"/>
    <col min="8500" max="8704" width="9.140625" style="57"/>
    <col min="8705" max="8705" width="15.42578125" style="57" customWidth="1"/>
    <col min="8706" max="8706" width="9.140625" style="57"/>
    <col min="8707" max="8707" width="3.42578125" style="57" bestFit="1" customWidth="1"/>
    <col min="8708" max="8708" width="2.42578125" style="57" bestFit="1" customWidth="1"/>
    <col min="8709" max="8709" width="6.5703125" style="57" bestFit="1" customWidth="1"/>
    <col min="8710" max="8710" width="2" style="57" bestFit="1" customWidth="1"/>
    <col min="8711" max="8711" width="8.140625" style="57" customWidth="1"/>
    <col min="8712" max="8712" width="2" style="57" bestFit="1" customWidth="1"/>
    <col min="8713" max="8713" width="6.5703125" style="57" bestFit="1" customWidth="1"/>
    <col min="8714" max="8714" width="2" style="57" bestFit="1" customWidth="1"/>
    <col min="8715" max="8715" width="6.5703125" style="57" bestFit="1" customWidth="1"/>
    <col min="8716" max="8716" width="2.7109375" style="57" bestFit="1" customWidth="1"/>
    <col min="8717" max="8717" width="1.7109375" style="57" bestFit="1" customWidth="1"/>
    <col min="8718" max="8718" width="6.5703125" style="57" bestFit="1" customWidth="1"/>
    <col min="8719" max="8719" width="2" style="57" bestFit="1" customWidth="1"/>
    <col min="8720" max="8720" width="6.5703125" style="57" bestFit="1" customWidth="1"/>
    <col min="8721" max="8721" width="2.7109375" style="57" bestFit="1" customWidth="1"/>
    <col min="8722" max="8722" width="1.7109375" style="57" bestFit="1" customWidth="1"/>
    <col min="8723" max="8723" width="6.5703125" style="57" bestFit="1" customWidth="1"/>
    <col min="8724" max="8724" width="2" style="57" bestFit="1" customWidth="1"/>
    <col min="8725" max="8725" width="6.5703125" style="57" bestFit="1" customWidth="1"/>
    <col min="8726" max="8726" width="2.42578125" style="57" bestFit="1" customWidth="1"/>
    <col min="8727" max="8727" width="2.42578125" style="57" customWidth="1"/>
    <col min="8728" max="8728" width="2.7109375" style="57" bestFit="1" customWidth="1"/>
    <col min="8729" max="8729" width="2" style="57" bestFit="1" customWidth="1"/>
    <col min="8730" max="8730" width="7.140625" style="57" bestFit="1" customWidth="1"/>
    <col min="8731" max="8731" width="7.42578125" style="57" customWidth="1"/>
    <col min="8732" max="8732" width="0" style="57" hidden="1" customWidth="1"/>
    <col min="8733" max="8735" width="9.140625" style="57"/>
    <col min="8736" max="8755" width="0" style="57" hidden="1" customWidth="1"/>
    <col min="8756" max="8960" width="9.140625" style="57"/>
    <col min="8961" max="8961" width="15.42578125" style="57" customWidth="1"/>
    <col min="8962" max="8962" width="9.140625" style="57"/>
    <col min="8963" max="8963" width="3.42578125" style="57" bestFit="1" customWidth="1"/>
    <col min="8964" max="8964" width="2.42578125" style="57" bestFit="1" customWidth="1"/>
    <col min="8965" max="8965" width="6.5703125" style="57" bestFit="1" customWidth="1"/>
    <col min="8966" max="8966" width="2" style="57" bestFit="1" customWidth="1"/>
    <col min="8967" max="8967" width="8.140625" style="57" customWidth="1"/>
    <col min="8968" max="8968" width="2" style="57" bestFit="1" customWidth="1"/>
    <col min="8969" max="8969" width="6.5703125" style="57" bestFit="1" customWidth="1"/>
    <col min="8970" max="8970" width="2" style="57" bestFit="1" customWidth="1"/>
    <col min="8971" max="8971" width="6.5703125" style="57" bestFit="1" customWidth="1"/>
    <col min="8972" max="8972" width="2.7109375" style="57" bestFit="1" customWidth="1"/>
    <col min="8973" max="8973" width="1.7109375" style="57" bestFit="1" customWidth="1"/>
    <col min="8974" max="8974" width="6.5703125" style="57" bestFit="1" customWidth="1"/>
    <col min="8975" max="8975" width="2" style="57" bestFit="1" customWidth="1"/>
    <col min="8976" max="8976" width="6.5703125" style="57" bestFit="1" customWidth="1"/>
    <col min="8977" max="8977" width="2.7109375" style="57" bestFit="1" customWidth="1"/>
    <col min="8978" max="8978" width="1.7109375" style="57" bestFit="1" customWidth="1"/>
    <col min="8979" max="8979" width="6.5703125" style="57" bestFit="1" customWidth="1"/>
    <col min="8980" max="8980" width="2" style="57" bestFit="1" customWidth="1"/>
    <col min="8981" max="8981" width="6.5703125" style="57" bestFit="1" customWidth="1"/>
    <col min="8982" max="8982" width="2.42578125" style="57" bestFit="1" customWidth="1"/>
    <col min="8983" max="8983" width="2.42578125" style="57" customWidth="1"/>
    <col min="8984" max="8984" width="2.7109375" style="57" bestFit="1" customWidth="1"/>
    <col min="8985" max="8985" width="2" style="57" bestFit="1" customWidth="1"/>
    <col min="8986" max="8986" width="7.140625" style="57" bestFit="1" customWidth="1"/>
    <col min="8987" max="8987" width="7.42578125" style="57" customWidth="1"/>
    <col min="8988" max="8988" width="0" style="57" hidden="1" customWidth="1"/>
    <col min="8989" max="8991" width="9.140625" style="57"/>
    <col min="8992" max="9011" width="0" style="57" hidden="1" customWidth="1"/>
    <col min="9012" max="9216" width="9.140625" style="57"/>
    <col min="9217" max="9217" width="15.42578125" style="57" customWidth="1"/>
    <col min="9218" max="9218" width="9.140625" style="57"/>
    <col min="9219" max="9219" width="3.42578125" style="57" bestFit="1" customWidth="1"/>
    <col min="9220" max="9220" width="2.42578125" style="57" bestFit="1" customWidth="1"/>
    <col min="9221" max="9221" width="6.5703125" style="57" bestFit="1" customWidth="1"/>
    <col min="9222" max="9222" width="2" style="57" bestFit="1" customWidth="1"/>
    <col min="9223" max="9223" width="8.140625" style="57" customWidth="1"/>
    <col min="9224" max="9224" width="2" style="57" bestFit="1" customWidth="1"/>
    <col min="9225" max="9225" width="6.5703125" style="57" bestFit="1" customWidth="1"/>
    <col min="9226" max="9226" width="2" style="57" bestFit="1" customWidth="1"/>
    <col min="9227" max="9227" width="6.5703125" style="57" bestFit="1" customWidth="1"/>
    <col min="9228" max="9228" width="2.7109375" style="57" bestFit="1" customWidth="1"/>
    <col min="9229" max="9229" width="1.7109375" style="57" bestFit="1" customWidth="1"/>
    <col min="9230" max="9230" width="6.5703125" style="57" bestFit="1" customWidth="1"/>
    <col min="9231" max="9231" width="2" style="57" bestFit="1" customWidth="1"/>
    <col min="9232" max="9232" width="6.5703125" style="57" bestFit="1" customWidth="1"/>
    <col min="9233" max="9233" width="2.7109375" style="57" bestFit="1" customWidth="1"/>
    <col min="9234" max="9234" width="1.7109375" style="57" bestFit="1" customWidth="1"/>
    <col min="9235" max="9235" width="6.5703125" style="57" bestFit="1" customWidth="1"/>
    <col min="9236" max="9236" width="2" style="57" bestFit="1" customWidth="1"/>
    <col min="9237" max="9237" width="6.5703125" style="57" bestFit="1" customWidth="1"/>
    <col min="9238" max="9238" width="2.42578125" style="57" bestFit="1" customWidth="1"/>
    <col min="9239" max="9239" width="2.42578125" style="57" customWidth="1"/>
    <col min="9240" max="9240" width="2.7109375" style="57" bestFit="1" customWidth="1"/>
    <col min="9241" max="9241" width="2" style="57" bestFit="1" customWidth="1"/>
    <col min="9242" max="9242" width="7.140625" style="57" bestFit="1" customWidth="1"/>
    <col min="9243" max="9243" width="7.42578125" style="57" customWidth="1"/>
    <col min="9244" max="9244" width="0" style="57" hidden="1" customWidth="1"/>
    <col min="9245" max="9247" width="9.140625" style="57"/>
    <col min="9248" max="9267" width="0" style="57" hidden="1" customWidth="1"/>
    <col min="9268" max="9472" width="9.140625" style="57"/>
    <col min="9473" max="9473" width="15.42578125" style="57" customWidth="1"/>
    <col min="9474" max="9474" width="9.140625" style="57"/>
    <col min="9475" max="9475" width="3.42578125" style="57" bestFit="1" customWidth="1"/>
    <col min="9476" max="9476" width="2.42578125" style="57" bestFit="1" customWidth="1"/>
    <col min="9477" max="9477" width="6.5703125" style="57" bestFit="1" customWidth="1"/>
    <col min="9478" max="9478" width="2" style="57" bestFit="1" customWidth="1"/>
    <col min="9479" max="9479" width="8.140625" style="57" customWidth="1"/>
    <col min="9480" max="9480" width="2" style="57" bestFit="1" customWidth="1"/>
    <col min="9481" max="9481" width="6.5703125" style="57" bestFit="1" customWidth="1"/>
    <col min="9482" max="9482" width="2" style="57" bestFit="1" customWidth="1"/>
    <col min="9483" max="9483" width="6.5703125" style="57" bestFit="1" customWidth="1"/>
    <col min="9484" max="9484" width="2.7109375" style="57" bestFit="1" customWidth="1"/>
    <col min="9485" max="9485" width="1.7109375" style="57" bestFit="1" customWidth="1"/>
    <col min="9486" max="9486" width="6.5703125" style="57" bestFit="1" customWidth="1"/>
    <col min="9487" max="9487" width="2" style="57" bestFit="1" customWidth="1"/>
    <col min="9488" max="9488" width="6.5703125" style="57" bestFit="1" customWidth="1"/>
    <col min="9489" max="9489" width="2.7109375" style="57" bestFit="1" customWidth="1"/>
    <col min="9490" max="9490" width="1.7109375" style="57" bestFit="1" customWidth="1"/>
    <col min="9491" max="9491" width="6.5703125" style="57" bestFit="1" customWidth="1"/>
    <col min="9492" max="9492" width="2" style="57" bestFit="1" customWidth="1"/>
    <col min="9493" max="9493" width="6.5703125" style="57" bestFit="1" customWidth="1"/>
    <col min="9494" max="9494" width="2.42578125" style="57" bestFit="1" customWidth="1"/>
    <col min="9495" max="9495" width="2.42578125" style="57" customWidth="1"/>
    <col min="9496" max="9496" width="2.7109375" style="57" bestFit="1" customWidth="1"/>
    <col min="9497" max="9497" width="2" style="57" bestFit="1" customWidth="1"/>
    <col min="9498" max="9498" width="7.140625" style="57" bestFit="1" customWidth="1"/>
    <col min="9499" max="9499" width="7.42578125" style="57" customWidth="1"/>
    <col min="9500" max="9500" width="0" style="57" hidden="1" customWidth="1"/>
    <col min="9501" max="9503" width="9.140625" style="57"/>
    <col min="9504" max="9523" width="0" style="57" hidden="1" customWidth="1"/>
    <col min="9524" max="9728" width="9.140625" style="57"/>
    <col min="9729" max="9729" width="15.42578125" style="57" customWidth="1"/>
    <col min="9730" max="9730" width="9.140625" style="57"/>
    <col min="9731" max="9731" width="3.42578125" style="57" bestFit="1" customWidth="1"/>
    <col min="9732" max="9732" width="2.42578125" style="57" bestFit="1" customWidth="1"/>
    <col min="9733" max="9733" width="6.5703125" style="57" bestFit="1" customWidth="1"/>
    <col min="9734" max="9734" width="2" style="57" bestFit="1" customWidth="1"/>
    <col min="9735" max="9735" width="8.140625" style="57" customWidth="1"/>
    <col min="9736" max="9736" width="2" style="57" bestFit="1" customWidth="1"/>
    <col min="9737" max="9737" width="6.5703125" style="57" bestFit="1" customWidth="1"/>
    <col min="9738" max="9738" width="2" style="57" bestFit="1" customWidth="1"/>
    <col min="9739" max="9739" width="6.5703125" style="57" bestFit="1" customWidth="1"/>
    <col min="9740" max="9740" width="2.7109375" style="57" bestFit="1" customWidth="1"/>
    <col min="9741" max="9741" width="1.7109375" style="57" bestFit="1" customWidth="1"/>
    <col min="9742" max="9742" width="6.5703125" style="57" bestFit="1" customWidth="1"/>
    <col min="9743" max="9743" width="2" style="57" bestFit="1" customWidth="1"/>
    <col min="9744" max="9744" width="6.5703125" style="57" bestFit="1" customWidth="1"/>
    <col min="9745" max="9745" width="2.7109375" style="57" bestFit="1" customWidth="1"/>
    <col min="9746" max="9746" width="1.7109375" style="57" bestFit="1" customWidth="1"/>
    <col min="9747" max="9747" width="6.5703125" style="57" bestFit="1" customWidth="1"/>
    <col min="9748" max="9748" width="2" style="57" bestFit="1" customWidth="1"/>
    <col min="9749" max="9749" width="6.5703125" style="57" bestFit="1" customWidth="1"/>
    <col min="9750" max="9750" width="2.42578125" style="57" bestFit="1" customWidth="1"/>
    <col min="9751" max="9751" width="2.42578125" style="57" customWidth="1"/>
    <col min="9752" max="9752" width="2.7109375" style="57" bestFit="1" customWidth="1"/>
    <col min="9753" max="9753" width="2" style="57" bestFit="1" customWidth="1"/>
    <col min="9754" max="9754" width="7.140625" style="57" bestFit="1" customWidth="1"/>
    <col min="9755" max="9755" width="7.42578125" style="57" customWidth="1"/>
    <col min="9756" max="9756" width="0" style="57" hidden="1" customWidth="1"/>
    <col min="9757" max="9759" width="9.140625" style="57"/>
    <col min="9760" max="9779" width="0" style="57" hidden="1" customWidth="1"/>
    <col min="9780" max="9984" width="9.140625" style="57"/>
    <col min="9985" max="9985" width="15.42578125" style="57" customWidth="1"/>
    <col min="9986" max="9986" width="9.140625" style="57"/>
    <col min="9987" max="9987" width="3.42578125" style="57" bestFit="1" customWidth="1"/>
    <col min="9988" max="9988" width="2.42578125" style="57" bestFit="1" customWidth="1"/>
    <col min="9989" max="9989" width="6.5703125" style="57" bestFit="1" customWidth="1"/>
    <col min="9990" max="9990" width="2" style="57" bestFit="1" customWidth="1"/>
    <col min="9991" max="9991" width="8.140625" style="57" customWidth="1"/>
    <col min="9992" max="9992" width="2" style="57" bestFit="1" customWidth="1"/>
    <col min="9993" max="9993" width="6.5703125" style="57" bestFit="1" customWidth="1"/>
    <col min="9994" max="9994" width="2" style="57" bestFit="1" customWidth="1"/>
    <col min="9995" max="9995" width="6.5703125" style="57" bestFit="1" customWidth="1"/>
    <col min="9996" max="9996" width="2.7109375" style="57" bestFit="1" customWidth="1"/>
    <col min="9997" max="9997" width="1.7109375" style="57" bestFit="1" customWidth="1"/>
    <col min="9998" max="9998" width="6.5703125" style="57" bestFit="1" customWidth="1"/>
    <col min="9999" max="9999" width="2" style="57" bestFit="1" customWidth="1"/>
    <col min="10000" max="10000" width="6.5703125" style="57" bestFit="1" customWidth="1"/>
    <col min="10001" max="10001" width="2.7109375" style="57" bestFit="1" customWidth="1"/>
    <col min="10002" max="10002" width="1.7109375" style="57" bestFit="1" customWidth="1"/>
    <col min="10003" max="10003" width="6.5703125" style="57" bestFit="1" customWidth="1"/>
    <col min="10004" max="10004" width="2" style="57" bestFit="1" customWidth="1"/>
    <col min="10005" max="10005" width="6.5703125" style="57" bestFit="1" customWidth="1"/>
    <col min="10006" max="10006" width="2.42578125" style="57" bestFit="1" customWidth="1"/>
    <col min="10007" max="10007" width="2.42578125" style="57" customWidth="1"/>
    <col min="10008" max="10008" width="2.7109375" style="57" bestFit="1" customWidth="1"/>
    <col min="10009" max="10009" width="2" style="57" bestFit="1" customWidth="1"/>
    <col min="10010" max="10010" width="7.140625" style="57" bestFit="1" customWidth="1"/>
    <col min="10011" max="10011" width="7.42578125" style="57" customWidth="1"/>
    <col min="10012" max="10012" width="0" style="57" hidden="1" customWidth="1"/>
    <col min="10013" max="10015" width="9.140625" style="57"/>
    <col min="10016" max="10035" width="0" style="57" hidden="1" customWidth="1"/>
    <col min="10036" max="10240" width="9.140625" style="57"/>
    <col min="10241" max="10241" width="15.42578125" style="57" customWidth="1"/>
    <col min="10242" max="10242" width="9.140625" style="57"/>
    <col min="10243" max="10243" width="3.42578125" style="57" bestFit="1" customWidth="1"/>
    <col min="10244" max="10244" width="2.42578125" style="57" bestFit="1" customWidth="1"/>
    <col min="10245" max="10245" width="6.5703125" style="57" bestFit="1" customWidth="1"/>
    <col min="10246" max="10246" width="2" style="57" bestFit="1" customWidth="1"/>
    <col min="10247" max="10247" width="8.140625" style="57" customWidth="1"/>
    <col min="10248" max="10248" width="2" style="57" bestFit="1" customWidth="1"/>
    <col min="10249" max="10249" width="6.5703125" style="57" bestFit="1" customWidth="1"/>
    <col min="10250" max="10250" width="2" style="57" bestFit="1" customWidth="1"/>
    <col min="10251" max="10251" width="6.5703125" style="57" bestFit="1" customWidth="1"/>
    <col min="10252" max="10252" width="2.7109375" style="57" bestFit="1" customWidth="1"/>
    <col min="10253" max="10253" width="1.7109375" style="57" bestFit="1" customWidth="1"/>
    <col min="10254" max="10254" width="6.5703125" style="57" bestFit="1" customWidth="1"/>
    <col min="10255" max="10255" width="2" style="57" bestFit="1" customWidth="1"/>
    <col min="10256" max="10256" width="6.5703125" style="57" bestFit="1" customWidth="1"/>
    <col min="10257" max="10257" width="2.7109375" style="57" bestFit="1" customWidth="1"/>
    <col min="10258" max="10258" width="1.7109375" style="57" bestFit="1" customWidth="1"/>
    <col min="10259" max="10259" width="6.5703125" style="57" bestFit="1" customWidth="1"/>
    <col min="10260" max="10260" width="2" style="57" bestFit="1" customWidth="1"/>
    <col min="10261" max="10261" width="6.5703125" style="57" bestFit="1" customWidth="1"/>
    <col min="10262" max="10262" width="2.42578125" style="57" bestFit="1" customWidth="1"/>
    <col min="10263" max="10263" width="2.42578125" style="57" customWidth="1"/>
    <col min="10264" max="10264" width="2.7109375" style="57" bestFit="1" customWidth="1"/>
    <col min="10265" max="10265" width="2" style="57" bestFit="1" customWidth="1"/>
    <col min="10266" max="10266" width="7.140625" style="57" bestFit="1" customWidth="1"/>
    <col min="10267" max="10267" width="7.42578125" style="57" customWidth="1"/>
    <col min="10268" max="10268" width="0" style="57" hidden="1" customWidth="1"/>
    <col min="10269" max="10271" width="9.140625" style="57"/>
    <col min="10272" max="10291" width="0" style="57" hidden="1" customWidth="1"/>
    <col min="10292" max="10496" width="9.140625" style="57"/>
    <col min="10497" max="10497" width="15.42578125" style="57" customWidth="1"/>
    <col min="10498" max="10498" width="9.140625" style="57"/>
    <col min="10499" max="10499" width="3.42578125" style="57" bestFit="1" customWidth="1"/>
    <col min="10500" max="10500" width="2.42578125" style="57" bestFit="1" customWidth="1"/>
    <col min="10501" max="10501" width="6.5703125" style="57" bestFit="1" customWidth="1"/>
    <col min="10502" max="10502" width="2" style="57" bestFit="1" customWidth="1"/>
    <col min="10503" max="10503" width="8.140625" style="57" customWidth="1"/>
    <col min="10504" max="10504" width="2" style="57" bestFit="1" customWidth="1"/>
    <col min="10505" max="10505" width="6.5703125" style="57" bestFit="1" customWidth="1"/>
    <col min="10506" max="10506" width="2" style="57" bestFit="1" customWidth="1"/>
    <col min="10507" max="10507" width="6.5703125" style="57" bestFit="1" customWidth="1"/>
    <col min="10508" max="10508" width="2.7109375" style="57" bestFit="1" customWidth="1"/>
    <col min="10509" max="10509" width="1.7109375" style="57" bestFit="1" customWidth="1"/>
    <col min="10510" max="10510" width="6.5703125" style="57" bestFit="1" customWidth="1"/>
    <col min="10511" max="10511" width="2" style="57" bestFit="1" customWidth="1"/>
    <col min="10512" max="10512" width="6.5703125" style="57" bestFit="1" customWidth="1"/>
    <col min="10513" max="10513" width="2.7109375" style="57" bestFit="1" customWidth="1"/>
    <col min="10514" max="10514" width="1.7109375" style="57" bestFit="1" customWidth="1"/>
    <col min="10515" max="10515" width="6.5703125" style="57" bestFit="1" customWidth="1"/>
    <col min="10516" max="10516" width="2" style="57" bestFit="1" customWidth="1"/>
    <col min="10517" max="10517" width="6.5703125" style="57" bestFit="1" customWidth="1"/>
    <col min="10518" max="10518" width="2.42578125" style="57" bestFit="1" customWidth="1"/>
    <col min="10519" max="10519" width="2.42578125" style="57" customWidth="1"/>
    <col min="10520" max="10520" width="2.7109375" style="57" bestFit="1" customWidth="1"/>
    <col min="10521" max="10521" width="2" style="57" bestFit="1" customWidth="1"/>
    <col min="10522" max="10522" width="7.140625" style="57" bestFit="1" customWidth="1"/>
    <col min="10523" max="10523" width="7.42578125" style="57" customWidth="1"/>
    <col min="10524" max="10524" width="0" style="57" hidden="1" customWidth="1"/>
    <col min="10525" max="10527" width="9.140625" style="57"/>
    <col min="10528" max="10547" width="0" style="57" hidden="1" customWidth="1"/>
    <col min="10548" max="10752" width="9.140625" style="57"/>
    <col min="10753" max="10753" width="15.42578125" style="57" customWidth="1"/>
    <col min="10754" max="10754" width="9.140625" style="57"/>
    <col min="10755" max="10755" width="3.42578125" style="57" bestFit="1" customWidth="1"/>
    <col min="10756" max="10756" width="2.42578125" style="57" bestFit="1" customWidth="1"/>
    <col min="10757" max="10757" width="6.5703125" style="57" bestFit="1" customWidth="1"/>
    <col min="10758" max="10758" width="2" style="57" bestFit="1" customWidth="1"/>
    <col min="10759" max="10759" width="8.140625" style="57" customWidth="1"/>
    <col min="10760" max="10760" width="2" style="57" bestFit="1" customWidth="1"/>
    <col min="10761" max="10761" width="6.5703125" style="57" bestFit="1" customWidth="1"/>
    <col min="10762" max="10762" width="2" style="57" bestFit="1" customWidth="1"/>
    <col min="10763" max="10763" width="6.5703125" style="57" bestFit="1" customWidth="1"/>
    <col min="10764" max="10764" width="2.7109375" style="57" bestFit="1" customWidth="1"/>
    <col min="10765" max="10765" width="1.7109375" style="57" bestFit="1" customWidth="1"/>
    <col min="10766" max="10766" width="6.5703125" style="57" bestFit="1" customWidth="1"/>
    <col min="10767" max="10767" width="2" style="57" bestFit="1" customWidth="1"/>
    <col min="10768" max="10768" width="6.5703125" style="57" bestFit="1" customWidth="1"/>
    <col min="10769" max="10769" width="2.7109375" style="57" bestFit="1" customWidth="1"/>
    <col min="10770" max="10770" width="1.7109375" style="57" bestFit="1" customWidth="1"/>
    <col min="10771" max="10771" width="6.5703125" style="57" bestFit="1" customWidth="1"/>
    <col min="10772" max="10772" width="2" style="57" bestFit="1" customWidth="1"/>
    <col min="10773" max="10773" width="6.5703125" style="57" bestFit="1" customWidth="1"/>
    <col min="10774" max="10774" width="2.42578125" style="57" bestFit="1" customWidth="1"/>
    <col min="10775" max="10775" width="2.42578125" style="57" customWidth="1"/>
    <col min="10776" max="10776" width="2.7109375" style="57" bestFit="1" customWidth="1"/>
    <col min="10777" max="10777" width="2" style="57" bestFit="1" customWidth="1"/>
    <col min="10778" max="10778" width="7.140625" style="57" bestFit="1" customWidth="1"/>
    <col min="10779" max="10779" width="7.42578125" style="57" customWidth="1"/>
    <col min="10780" max="10780" width="0" style="57" hidden="1" customWidth="1"/>
    <col min="10781" max="10783" width="9.140625" style="57"/>
    <col min="10784" max="10803" width="0" style="57" hidden="1" customWidth="1"/>
    <col min="10804" max="11008" width="9.140625" style="57"/>
    <col min="11009" max="11009" width="15.42578125" style="57" customWidth="1"/>
    <col min="11010" max="11010" width="9.140625" style="57"/>
    <col min="11011" max="11011" width="3.42578125" style="57" bestFit="1" customWidth="1"/>
    <col min="11012" max="11012" width="2.42578125" style="57" bestFit="1" customWidth="1"/>
    <col min="11013" max="11013" width="6.5703125" style="57" bestFit="1" customWidth="1"/>
    <col min="11014" max="11014" width="2" style="57" bestFit="1" customWidth="1"/>
    <col min="11015" max="11015" width="8.140625" style="57" customWidth="1"/>
    <col min="11016" max="11016" width="2" style="57" bestFit="1" customWidth="1"/>
    <col min="11017" max="11017" width="6.5703125" style="57" bestFit="1" customWidth="1"/>
    <col min="11018" max="11018" width="2" style="57" bestFit="1" customWidth="1"/>
    <col min="11019" max="11019" width="6.5703125" style="57" bestFit="1" customWidth="1"/>
    <col min="11020" max="11020" width="2.7109375" style="57" bestFit="1" customWidth="1"/>
    <col min="11021" max="11021" width="1.7109375" style="57" bestFit="1" customWidth="1"/>
    <col min="11022" max="11022" width="6.5703125" style="57" bestFit="1" customWidth="1"/>
    <col min="11023" max="11023" width="2" style="57" bestFit="1" customWidth="1"/>
    <col min="11024" max="11024" width="6.5703125" style="57" bestFit="1" customWidth="1"/>
    <col min="11025" max="11025" width="2.7109375" style="57" bestFit="1" customWidth="1"/>
    <col min="11026" max="11026" width="1.7109375" style="57" bestFit="1" customWidth="1"/>
    <col min="11027" max="11027" width="6.5703125" style="57" bestFit="1" customWidth="1"/>
    <col min="11028" max="11028" width="2" style="57" bestFit="1" customWidth="1"/>
    <col min="11029" max="11029" width="6.5703125" style="57" bestFit="1" customWidth="1"/>
    <col min="11030" max="11030" width="2.42578125" style="57" bestFit="1" customWidth="1"/>
    <col min="11031" max="11031" width="2.42578125" style="57" customWidth="1"/>
    <col min="11032" max="11032" width="2.7109375" style="57" bestFit="1" customWidth="1"/>
    <col min="11033" max="11033" width="2" style="57" bestFit="1" customWidth="1"/>
    <col min="11034" max="11034" width="7.140625" style="57" bestFit="1" customWidth="1"/>
    <col min="11035" max="11035" width="7.42578125" style="57" customWidth="1"/>
    <col min="11036" max="11036" width="0" style="57" hidden="1" customWidth="1"/>
    <col min="11037" max="11039" width="9.140625" style="57"/>
    <col min="11040" max="11059" width="0" style="57" hidden="1" customWidth="1"/>
    <col min="11060" max="11264" width="9.140625" style="57"/>
    <col min="11265" max="11265" width="15.42578125" style="57" customWidth="1"/>
    <col min="11266" max="11266" width="9.140625" style="57"/>
    <col min="11267" max="11267" width="3.42578125" style="57" bestFit="1" customWidth="1"/>
    <col min="11268" max="11268" width="2.42578125" style="57" bestFit="1" customWidth="1"/>
    <col min="11269" max="11269" width="6.5703125" style="57" bestFit="1" customWidth="1"/>
    <col min="11270" max="11270" width="2" style="57" bestFit="1" customWidth="1"/>
    <col min="11271" max="11271" width="8.140625" style="57" customWidth="1"/>
    <col min="11272" max="11272" width="2" style="57" bestFit="1" customWidth="1"/>
    <col min="11273" max="11273" width="6.5703125" style="57" bestFit="1" customWidth="1"/>
    <col min="11274" max="11274" width="2" style="57" bestFit="1" customWidth="1"/>
    <col min="11275" max="11275" width="6.5703125" style="57" bestFit="1" customWidth="1"/>
    <col min="11276" max="11276" width="2.7109375" style="57" bestFit="1" customWidth="1"/>
    <col min="11277" max="11277" width="1.7109375" style="57" bestFit="1" customWidth="1"/>
    <col min="11278" max="11278" width="6.5703125" style="57" bestFit="1" customWidth="1"/>
    <col min="11279" max="11279" width="2" style="57" bestFit="1" customWidth="1"/>
    <col min="11280" max="11280" width="6.5703125" style="57" bestFit="1" customWidth="1"/>
    <col min="11281" max="11281" width="2.7109375" style="57" bestFit="1" customWidth="1"/>
    <col min="11282" max="11282" width="1.7109375" style="57" bestFit="1" customWidth="1"/>
    <col min="11283" max="11283" width="6.5703125" style="57" bestFit="1" customWidth="1"/>
    <col min="11284" max="11284" width="2" style="57" bestFit="1" customWidth="1"/>
    <col min="11285" max="11285" width="6.5703125" style="57" bestFit="1" customWidth="1"/>
    <col min="11286" max="11286" width="2.42578125" style="57" bestFit="1" customWidth="1"/>
    <col min="11287" max="11287" width="2.42578125" style="57" customWidth="1"/>
    <col min="11288" max="11288" width="2.7109375" style="57" bestFit="1" customWidth="1"/>
    <col min="11289" max="11289" width="2" style="57" bestFit="1" customWidth="1"/>
    <col min="11290" max="11290" width="7.140625" style="57" bestFit="1" customWidth="1"/>
    <col min="11291" max="11291" width="7.42578125" style="57" customWidth="1"/>
    <col min="11292" max="11292" width="0" style="57" hidden="1" customWidth="1"/>
    <col min="11293" max="11295" width="9.140625" style="57"/>
    <col min="11296" max="11315" width="0" style="57" hidden="1" customWidth="1"/>
    <col min="11316" max="11520" width="9.140625" style="57"/>
    <col min="11521" max="11521" width="15.42578125" style="57" customWidth="1"/>
    <col min="11522" max="11522" width="9.140625" style="57"/>
    <col min="11523" max="11523" width="3.42578125" style="57" bestFit="1" customWidth="1"/>
    <col min="11524" max="11524" width="2.42578125" style="57" bestFit="1" customWidth="1"/>
    <col min="11525" max="11525" width="6.5703125" style="57" bestFit="1" customWidth="1"/>
    <col min="11526" max="11526" width="2" style="57" bestFit="1" customWidth="1"/>
    <col min="11527" max="11527" width="8.140625" style="57" customWidth="1"/>
    <col min="11528" max="11528" width="2" style="57" bestFit="1" customWidth="1"/>
    <col min="11529" max="11529" width="6.5703125" style="57" bestFit="1" customWidth="1"/>
    <col min="11530" max="11530" width="2" style="57" bestFit="1" customWidth="1"/>
    <col min="11531" max="11531" width="6.5703125" style="57" bestFit="1" customWidth="1"/>
    <col min="11532" max="11532" width="2.7109375" style="57" bestFit="1" customWidth="1"/>
    <col min="11533" max="11533" width="1.7109375" style="57" bestFit="1" customWidth="1"/>
    <col min="11534" max="11534" width="6.5703125" style="57" bestFit="1" customWidth="1"/>
    <col min="11535" max="11535" width="2" style="57" bestFit="1" customWidth="1"/>
    <col min="11536" max="11536" width="6.5703125" style="57" bestFit="1" customWidth="1"/>
    <col min="11537" max="11537" width="2.7109375" style="57" bestFit="1" customWidth="1"/>
    <col min="11538" max="11538" width="1.7109375" style="57" bestFit="1" customWidth="1"/>
    <col min="11539" max="11539" width="6.5703125" style="57" bestFit="1" customWidth="1"/>
    <col min="11540" max="11540" width="2" style="57" bestFit="1" customWidth="1"/>
    <col min="11541" max="11541" width="6.5703125" style="57" bestFit="1" customWidth="1"/>
    <col min="11542" max="11542" width="2.42578125" style="57" bestFit="1" customWidth="1"/>
    <col min="11543" max="11543" width="2.42578125" style="57" customWidth="1"/>
    <col min="11544" max="11544" width="2.7109375" style="57" bestFit="1" customWidth="1"/>
    <col min="11545" max="11545" width="2" style="57" bestFit="1" customWidth="1"/>
    <col min="11546" max="11546" width="7.140625" style="57" bestFit="1" customWidth="1"/>
    <col min="11547" max="11547" width="7.42578125" style="57" customWidth="1"/>
    <col min="11548" max="11548" width="0" style="57" hidden="1" customWidth="1"/>
    <col min="11549" max="11551" width="9.140625" style="57"/>
    <col min="11552" max="11571" width="0" style="57" hidden="1" customWidth="1"/>
    <col min="11572" max="11776" width="9.140625" style="57"/>
    <col min="11777" max="11777" width="15.42578125" style="57" customWidth="1"/>
    <col min="11778" max="11778" width="9.140625" style="57"/>
    <col min="11779" max="11779" width="3.42578125" style="57" bestFit="1" customWidth="1"/>
    <col min="11780" max="11780" width="2.42578125" style="57" bestFit="1" customWidth="1"/>
    <col min="11781" max="11781" width="6.5703125" style="57" bestFit="1" customWidth="1"/>
    <col min="11782" max="11782" width="2" style="57" bestFit="1" customWidth="1"/>
    <col min="11783" max="11783" width="8.140625" style="57" customWidth="1"/>
    <col min="11784" max="11784" width="2" style="57" bestFit="1" customWidth="1"/>
    <col min="11785" max="11785" width="6.5703125" style="57" bestFit="1" customWidth="1"/>
    <col min="11786" max="11786" width="2" style="57" bestFit="1" customWidth="1"/>
    <col min="11787" max="11787" width="6.5703125" style="57" bestFit="1" customWidth="1"/>
    <col min="11788" max="11788" width="2.7109375" style="57" bestFit="1" customWidth="1"/>
    <col min="11789" max="11789" width="1.7109375" style="57" bestFit="1" customWidth="1"/>
    <col min="11790" max="11790" width="6.5703125" style="57" bestFit="1" customWidth="1"/>
    <col min="11791" max="11791" width="2" style="57" bestFit="1" customWidth="1"/>
    <col min="11792" max="11792" width="6.5703125" style="57" bestFit="1" customWidth="1"/>
    <col min="11793" max="11793" width="2.7109375" style="57" bestFit="1" customWidth="1"/>
    <col min="11794" max="11794" width="1.7109375" style="57" bestFit="1" customWidth="1"/>
    <col min="11795" max="11795" width="6.5703125" style="57" bestFit="1" customWidth="1"/>
    <col min="11796" max="11796" width="2" style="57" bestFit="1" customWidth="1"/>
    <col min="11797" max="11797" width="6.5703125" style="57" bestFit="1" customWidth="1"/>
    <col min="11798" max="11798" width="2.42578125" style="57" bestFit="1" customWidth="1"/>
    <col min="11799" max="11799" width="2.42578125" style="57" customWidth="1"/>
    <col min="11800" max="11800" width="2.7109375" style="57" bestFit="1" customWidth="1"/>
    <col min="11801" max="11801" width="2" style="57" bestFit="1" customWidth="1"/>
    <col min="11802" max="11802" width="7.140625" style="57" bestFit="1" customWidth="1"/>
    <col min="11803" max="11803" width="7.42578125" style="57" customWidth="1"/>
    <col min="11804" max="11804" width="0" style="57" hidden="1" customWidth="1"/>
    <col min="11805" max="11807" width="9.140625" style="57"/>
    <col min="11808" max="11827" width="0" style="57" hidden="1" customWidth="1"/>
    <col min="11828" max="12032" width="9.140625" style="57"/>
    <col min="12033" max="12033" width="15.42578125" style="57" customWidth="1"/>
    <col min="12034" max="12034" width="9.140625" style="57"/>
    <col min="12035" max="12035" width="3.42578125" style="57" bestFit="1" customWidth="1"/>
    <col min="12036" max="12036" width="2.42578125" style="57" bestFit="1" customWidth="1"/>
    <col min="12037" max="12037" width="6.5703125" style="57" bestFit="1" customWidth="1"/>
    <col min="12038" max="12038" width="2" style="57" bestFit="1" customWidth="1"/>
    <col min="12039" max="12039" width="8.140625" style="57" customWidth="1"/>
    <col min="12040" max="12040" width="2" style="57" bestFit="1" customWidth="1"/>
    <col min="12041" max="12041" width="6.5703125" style="57" bestFit="1" customWidth="1"/>
    <col min="12042" max="12042" width="2" style="57" bestFit="1" customWidth="1"/>
    <col min="12043" max="12043" width="6.5703125" style="57" bestFit="1" customWidth="1"/>
    <col min="12044" max="12044" width="2.7109375" style="57" bestFit="1" customWidth="1"/>
    <col min="12045" max="12045" width="1.7109375" style="57" bestFit="1" customWidth="1"/>
    <col min="12046" max="12046" width="6.5703125" style="57" bestFit="1" customWidth="1"/>
    <col min="12047" max="12047" width="2" style="57" bestFit="1" customWidth="1"/>
    <col min="12048" max="12048" width="6.5703125" style="57" bestFit="1" customWidth="1"/>
    <col min="12049" max="12049" width="2.7109375" style="57" bestFit="1" customWidth="1"/>
    <col min="12050" max="12050" width="1.7109375" style="57" bestFit="1" customWidth="1"/>
    <col min="12051" max="12051" width="6.5703125" style="57" bestFit="1" customWidth="1"/>
    <col min="12052" max="12052" width="2" style="57" bestFit="1" customWidth="1"/>
    <col min="12053" max="12053" width="6.5703125" style="57" bestFit="1" customWidth="1"/>
    <col min="12054" max="12054" width="2.42578125" style="57" bestFit="1" customWidth="1"/>
    <col min="12055" max="12055" width="2.42578125" style="57" customWidth="1"/>
    <col min="12056" max="12056" width="2.7109375" style="57" bestFit="1" customWidth="1"/>
    <col min="12057" max="12057" width="2" style="57" bestFit="1" customWidth="1"/>
    <col min="12058" max="12058" width="7.140625" style="57" bestFit="1" customWidth="1"/>
    <col min="12059" max="12059" width="7.42578125" style="57" customWidth="1"/>
    <col min="12060" max="12060" width="0" style="57" hidden="1" customWidth="1"/>
    <col min="12061" max="12063" width="9.140625" style="57"/>
    <col min="12064" max="12083" width="0" style="57" hidden="1" customWidth="1"/>
    <col min="12084" max="12288" width="9.140625" style="57"/>
    <col min="12289" max="12289" width="15.42578125" style="57" customWidth="1"/>
    <col min="12290" max="12290" width="9.140625" style="57"/>
    <col min="12291" max="12291" width="3.42578125" style="57" bestFit="1" customWidth="1"/>
    <col min="12292" max="12292" width="2.42578125" style="57" bestFit="1" customWidth="1"/>
    <col min="12293" max="12293" width="6.5703125" style="57" bestFit="1" customWidth="1"/>
    <col min="12294" max="12294" width="2" style="57" bestFit="1" customWidth="1"/>
    <col min="12295" max="12295" width="8.140625" style="57" customWidth="1"/>
    <col min="12296" max="12296" width="2" style="57" bestFit="1" customWidth="1"/>
    <col min="12297" max="12297" width="6.5703125" style="57" bestFit="1" customWidth="1"/>
    <col min="12298" max="12298" width="2" style="57" bestFit="1" customWidth="1"/>
    <col min="12299" max="12299" width="6.5703125" style="57" bestFit="1" customWidth="1"/>
    <col min="12300" max="12300" width="2.7109375" style="57" bestFit="1" customWidth="1"/>
    <col min="12301" max="12301" width="1.7109375" style="57" bestFit="1" customWidth="1"/>
    <col min="12302" max="12302" width="6.5703125" style="57" bestFit="1" customWidth="1"/>
    <col min="12303" max="12303" width="2" style="57" bestFit="1" customWidth="1"/>
    <col min="12304" max="12304" width="6.5703125" style="57" bestFit="1" customWidth="1"/>
    <col min="12305" max="12305" width="2.7109375" style="57" bestFit="1" customWidth="1"/>
    <col min="12306" max="12306" width="1.7109375" style="57" bestFit="1" customWidth="1"/>
    <col min="12307" max="12307" width="6.5703125" style="57" bestFit="1" customWidth="1"/>
    <col min="12308" max="12308" width="2" style="57" bestFit="1" customWidth="1"/>
    <col min="12309" max="12309" width="6.5703125" style="57" bestFit="1" customWidth="1"/>
    <col min="12310" max="12310" width="2.42578125" style="57" bestFit="1" customWidth="1"/>
    <col min="12311" max="12311" width="2.42578125" style="57" customWidth="1"/>
    <col min="12312" max="12312" width="2.7109375" style="57" bestFit="1" customWidth="1"/>
    <col min="12313" max="12313" width="2" style="57" bestFit="1" customWidth="1"/>
    <col min="12314" max="12314" width="7.140625" style="57" bestFit="1" customWidth="1"/>
    <col min="12315" max="12315" width="7.42578125" style="57" customWidth="1"/>
    <col min="12316" max="12316" width="0" style="57" hidden="1" customWidth="1"/>
    <col min="12317" max="12319" width="9.140625" style="57"/>
    <col min="12320" max="12339" width="0" style="57" hidden="1" customWidth="1"/>
    <col min="12340" max="12544" width="9.140625" style="57"/>
    <col min="12545" max="12545" width="15.42578125" style="57" customWidth="1"/>
    <col min="12546" max="12546" width="9.140625" style="57"/>
    <col min="12547" max="12547" width="3.42578125" style="57" bestFit="1" customWidth="1"/>
    <col min="12548" max="12548" width="2.42578125" style="57" bestFit="1" customWidth="1"/>
    <col min="12549" max="12549" width="6.5703125" style="57" bestFit="1" customWidth="1"/>
    <col min="12550" max="12550" width="2" style="57" bestFit="1" customWidth="1"/>
    <col min="12551" max="12551" width="8.140625" style="57" customWidth="1"/>
    <col min="12552" max="12552" width="2" style="57" bestFit="1" customWidth="1"/>
    <col min="12553" max="12553" width="6.5703125" style="57" bestFit="1" customWidth="1"/>
    <col min="12554" max="12554" width="2" style="57" bestFit="1" customWidth="1"/>
    <col min="12555" max="12555" width="6.5703125" style="57" bestFit="1" customWidth="1"/>
    <col min="12556" max="12556" width="2.7109375" style="57" bestFit="1" customWidth="1"/>
    <col min="12557" max="12557" width="1.7109375" style="57" bestFit="1" customWidth="1"/>
    <col min="12558" max="12558" width="6.5703125" style="57" bestFit="1" customWidth="1"/>
    <col min="12559" max="12559" width="2" style="57" bestFit="1" customWidth="1"/>
    <col min="12560" max="12560" width="6.5703125" style="57" bestFit="1" customWidth="1"/>
    <col min="12561" max="12561" width="2.7109375" style="57" bestFit="1" customWidth="1"/>
    <col min="12562" max="12562" width="1.7109375" style="57" bestFit="1" customWidth="1"/>
    <col min="12563" max="12563" width="6.5703125" style="57" bestFit="1" customWidth="1"/>
    <col min="12564" max="12564" width="2" style="57" bestFit="1" customWidth="1"/>
    <col min="12565" max="12565" width="6.5703125" style="57" bestFit="1" customWidth="1"/>
    <col min="12566" max="12566" width="2.42578125" style="57" bestFit="1" customWidth="1"/>
    <col min="12567" max="12567" width="2.42578125" style="57" customWidth="1"/>
    <col min="12568" max="12568" width="2.7109375" style="57" bestFit="1" customWidth="1"/>
    <col min="12569" max="12569" width="2" style="57" bestFit="1" customWidth="1"/>
    <col min="12570" max="12570" width="7.140625" style="57" bestFit="1" customWidth="1"/>
    <col min="12571" max="12571" width="7.42578125" style="57" customWidth="1"/>
    <col min="12572" max="12572" width="0" style="57" hidden="1" customWidth="1"/>
    <col min="12573" max="12575" width="9.140625" style="57"/>
    <col min="12576" max="12595" width="0" style="57" hidden="1" customWidth="1"/>
    <col min="12596" max="12800" width="9.140625" style="57"/>
    <col min="12801" max="12801" width="15.42578125" style="57" customWidth="1"/>
    <col min="12802" max="12802" width="9.140625" style="57"/>
    <col min="12803" max="12803" width="3.42578125" style="57" bestFit="1" customWidth="1"/>
    <col min="12804" max="12804" width="2.42578125" style="57" bestFit="1" customWidth="1"/>
    <col min="12805" max="12805" width="6.5703125" style="57" bestFit="1" customWidth="1"/>
    <col min="12806" max="12806" width="2" style="57" bestFit="1" customWidth="1"/>
    <col min="12807" max="12807" width="8.140625" style="57" customWidth="1"/>
    <col min="12808" max="12808" width="2" style="57" bestFit="1" customWidth="1"/>
    <col min="12809" max="12809" width="6.5703125" style="57" bestFit="1" customWidth="1"/>
    <col min="12810" max="12810" width="2" style="57" bestFit="1" customWidth="1"/>
    <col min="12811" max="12811" width="6.5703125" style="57" bestFit="1" customWidth="1"/>
    <col min="12812" max="12812" width="2.7109375" style="57" bestFit="1" customWidth="1"/>
    <col min="12813" max="12813" width="1.7109375" style="57" bestFit="1" customWidth="1"/>
    <col min="12814" max="12814" width="6.5703125" style="57" bestFit="1" customWidth="1"/>
    <col min="12815" max="12815" width="2" style="57" bestFit="1" customWidth="1"/>
    <col min="12816" max="12816" width="6.5703125" style="57" bestFit="1" customWidth="1"/>
    <col min="12817" max="12817" width="2.7109375" style="57" bestFit="1" customWidth="1"/>
    <col min="12818" max="12818" width="1.7109375" style="57" bestFit="1" customWidth="1"/>
    <col min="12819" max="12819" width="6.5703125" style="57" bestFit="1" customWidth="1"/>
    <col min="12820" max="12820" width="2" style="57" bestFit="1" customWidth="1"/>
    <col min="12821" max="12821" width="6.5703125" style="57" bestFit="1" customWidth="1"/>
    <col min="12822" max="12822" width="2.42578125" style="57" bestFit="1" customWidth="1"/>
    <col min="12823" max="12823" width="2.42578125" style="57" customWidth="1"/>
    <col min="12824" max="12824" width="2.7109375" style="57" bestFit="1" customWidth="1"/>
    <col min="12825" max="12825" width="2" style="57" bestFit="1" customWidth="1"/>
    <col min="12826" max="12826" width="7.140625" style="57" bestFit="1" customWidth="1"/>
    <col min="12827" max="12827" width="7.42578125" style="57" customWidth="1"/>
    <col min="12828" max="12828" width="0" style="57" hidden="1" customWidth="1"/>
    <col min="12829" max="12831" width="9.140625" style="57"/>
    <col min="12832" max="12851" width="0" style="57" hidden="1" customWidth="1"/>
    <col min="12852" max="13056" width="9.140625" style="57"/>
    <col min="13057" max="13057" width="15.42578125" style="57" customWidth="1"/>
    <col min="13058" max="13058" width="9.140625" style="57"/>
    <col min="13059" max="13059" width="3.42578125" style="57" bestFit="1" customWidth="1"/>
    <col min="13060" max="13060" width="2.42578125" style="57" bestFit="1" customWidth="1"/>
    <col min="13061" max="13061" width="6.5703125" style="57" bestFit="1" customWidth="1"/>
    <col min="13062" max="13062" width="2" style="57" bestFit="1" customWidth="1"/>
    <col min="13063" max="13063" width="8.140625" style="57" customWidth="1"/>
    <col min="13064" max="13064" width="2" style="57" bestFit="1" customWidth="1"/>
    <col min="13065" max="13065" width="6.5703125" style="57" bestFit="1" customWidth="1"/>
    <col min="13066" max="13066" width="2" style="57" bestFit="1" customWidth="1"/>
    <col min="13067" max="13067" width="6.5703125" style="57" bestFit="1" customWidth="1"/>
    <col min="13068" max="13068" width="2.7109375" style="57" bestFit="1" customWidth="1"/>
    <col min="13069" max="13069" width="1.7109375" style="57" bestFit="1" customWidth="1"/>
    <col min="13070" max="13070" width="6.5703125" style="57" bestFit="1" customWidth="1"/>
    <col min="13071" max="13071" width="2" style="57" bestFit="1" customWidth="1"/>
    <col min="13072" max="13072" width="6.5703125" style="57" bestFit="1" customWidth="1"/>
    <col min="13073" max="13073" width="2.7109375" style="57" bestFit="1" customWidth="1"/>
    <col min="13074" max="13074" width="1.7109375" style="57" bestFit="1" customWidth="1"/>
    <col min="13075" max="13075" width="6.5703125" style="57" bestFit="1" customWidth="1"/>
    <col min="13076" max="13076" width="2" style="57" bestFit="1" customWidth="1"/>
    <col min="13077" max="13077" width="6.5703125" style="57" bestFit="1" customWidth="1"/>
    <col min="13078" max="13078" width="2.42578125" style="57" bestFit="1" customWidth="1"/>
    <col min="13079" max="13079" width="2.42578125" style="57" customWidth="1"/>
    <col min="13080" max="13080" width="2.7109375" style="57" bestFit="1" customWidth="1"/>
    <col min="13081" max="13081" width="2" style="57" bestFit="1" customWidth="1"/>
    <col min="13082" max="13082" width="7.140625" style="57" bestFit="1" customWidth="1"/>
    <col min="13083" max="13083" width="7.42578125" style="57" customWidth="1"/>
    <col min="13084" max="13084" width="0" style="57" hidden="1" customWidth="1"/>
    <col min="13085" max="13087" width="9.140625" style="57"/>
    <col min="13088" max="13107" width="0" style="57" hidden="1" customWidth="1"/>
    <col min="13108" max="13312" width="9.140625" style="57"/>
    <col min="13313" max="13313" width="15.42578125" style="57" customWidth="1"/>
    <col min="13314" max="13314" width="9.140625" style="57"/>
    <col min="13315" max="13315" width="3.42578125" style="57" bestFit="1" customWidth="1"/>
    <col min="13316" max="13316" width="2.42578125" style="57" bestFit="1" customWidth="1"/>
    <col min="13317" max="13317" width="6.5703125" style="57" bestFit="1" customWidth="1"/>
    <col min="13318" max="13318" width="2" style="57" bestFit="1" customWidth="1"/>
    <col min="13319" max="13319" width="8.140625" style="57" customWidth="1"/>
    <col min="13320" max="13320" width="2" style="57" bestFit="1" customWidth="1"/>
    <col min="13321" max="13321" width="6.5703125" style="57" bestFit="1" customWidth="1"/>
    <col min="13322" max="13322" width="2" style="57" bestFit="1" customWidth="1"/>
    <col min="13323" max="13323" width="6.5703125" style="57" bestFit="1" customWidth="1"/>
    <col min="13324" max="13324" width="2.7109375" style="57" bestFit="1" customWidth="1"/>
    <col min="13325" max="13325" width="1.7109375" style="57" bestFit="1" customWidth="1"/>
    <col min="13326" max="13326" width="6.5703125" style="57" bestFit="1" customWidth="1"/>
    <col min="13327" max="13327" width="2" style="57" bestFit="1" customWidth="1"/>
    <col min="13328" max="13328" width="6.5703125" style="57" bestFit="1" customWidth="1"/>
    <col min="13329" max="13329" width="2.7109375" style="57" bestFit="1" customWidth="1"/>
    <col min="13330" max="13330" width="1.7109375" style="57" bestFit="1" customWidth="1"/>
    <col min="13331" max="13331" width="6.5703125" style="57" bestFit="1" customWidth="1"/>
    <col min="13332" max="13332" width="2" style="57" bestFit="1" customWidth="1"/>
    <col min="13333" max="13333" width="6.5703125" style="57" bestFit="1" customWidth="1"/>
    <col min="13334" max="13334" width="2.42578125" style="57" bestFit="1" customWidth="1"/>
    <col min="13335" max="13335" width="2.42578125" style="57" customWidth="1"/>
    <col min="13336" max="13336" width="2.7109375" style="57" bestFit="1" customWidth="1"/>
    <col min="13337" max="13337" width="2" style="57" bestFit="1" customWidth="1"/>
    <col min="13338" max="13338" width="7.140625" style="57" bestFit="1" customWidth="1"/>
    <col min="13339" max="13339" width="7.42578125" style="57" customWidth="1"/>
    <col min="13340" max="13340" width="0" style="57" hidden="1" customWidth="1"/>
    <col min="13341" max="13343" width="9.140625" style="57"/>
    <col min="13344" max="13363" width="0" style="57" hidden="1" customWidth="1"/>
    <col min="13364" max="13568" width="9.140625" style="57"/>
    <col min="13569" max="13569" width="15.42578125" style="57" customWidth="1"/>
    <col min="13570" max="13570" width="9.140625" style="57"/>
    <col min="13571" max="13571" width="3.42578125" style="57" bestFit="1" customWidth="1"/>
    <col min="13572" max="13572" width="2.42578125" style="57" bestFit="1" customWidth="1"/>
    <col min="13573" max="13573" width="6.5703125" style="57" bestFit="1" customWidth="1"/>
    <col min="13574" max="13574" width="2" style="57" bestFit="1" customWidth="1"/>
    <col min="13575" max="13575" width="8.140625" style="57" customWidth="1"/>
    <col min="13576" max="13576" width="2" style="57" bestFit="1" customWidth="1"/>
    <col min="13577" max="13577" width="6.5703125" style="57" bestFit="1" customWidth="1"/>
    <col min="13578" max="13578" width="2" style="57" bestFit="1" customWidth="1"/>
    <col min="13579" max="13579" width="6.5703125" style="57" bestFit="1" customWidth="1"/>
    <col min="13580" max="13580" width="2.7109375" style="57" bestFit="1" customWidth="1"/>
    <col min="13581" max="13581" width="1.7109375" style="57" bestFit="1" customWidth="1"/>
    <col min="13582" max="13582" width="6.5703125" style="57" bestFit="1" customWidth="1"/>
    <col min="13583" max="13583" width="2" style="57" bestFit="1" customWidth="1"/>
    <col min="13584" max="13584" width="6.5703125" style="57" bestFit="1" customWidth="1"/>
    <col min="13585" max="13585" width="2.7109375" style="57" bestFit="1" customWidth="1"/>
    <col min="13586" max="13586" width="1.7109375" style="57" bestFit="1" customWidth="1"/>
    <col min="13587" max="13587" width="6.5703125" style="57" bestFit="1" customWidth="1"/>
    <col min="13588" max="13588" width="2" style="57" bestFit="1" customWidth="1"/>
    <col min="13589" max="13589" width="6.5703125" style="57" bestFit="1" customWidth="1"/>
    <col min="13590" max="13590" width="2.42578125" style="57" bestFit="1" customWidth="1"/>
    <col min="13591" max="13591" width="2.42578125" style="57" customWidth="1"/>
    <col min="13592" max="13592" width="2.7109375" style="57" bestFit="1" customWidth="1"/>
    <col min="13593" max="13593" width="2" style="57" bestFit="1" customWidth="1"/>
    <col min="13594" max="13594" width="7.140625" style="57" bestFit="1" customWidth="1"/>
    <col min="13595" max="13595" width="7.42578125" style="57" customWidth="1"/>
    <col min="13596" max="13596" width="0" style="57" hidden="1" customWidth="1"/>
    <col min="13597" max="13599" width="9.140625" style="57"/>
    <col min="13600" max="13619" width="0" style="57" hidden="1" customWidth="1"/>
    <col min="13620" max="13824" width="9.140625" style="57"/>
    <col min="13825" max="13825" width="15.42578125" style="57" customWidth="1"/>
    <col min="13826" max="13826" width="9.140625" style="57"/>
    <col min="13827" max="13827" width="3.42578125" style="57" bestFit="1" customWidth="1"/>
    <col min="13828" max="13828" width="2.42578125" style="57" bestFit="1" customWidth="1"/>
    <col min="13829" max="13829" width="6.5703125" style="57" bestFit="1" customWidth="1"/>
    <col min="13830" max="13830" width="2" style="57" bestFit="1" customWidth="1"/>
    <col min="13831" max="13831" width="8.140625" style="57" customWidth="1"/>
    <col min="13832" max="13832" width="2" style="57" bestFit="1" customWidth="1"/>
    <col min="13833" max="13833" width="6.5703125" style="57" bestFit="1" customWidth="1"/>
    <col min="13834" max="13834" width="2" style="57" bestFit="1" customWidth="1"/>
    <col min="13835" max="13835" width="6.5703125" style="57" bestFit="1" customWidth="1"/>
    <col min="13836" max="13836" width="2.7109375" style="57" bestFit="1" customWidth="1"/>
    <col min="13837" max="13837" width="1.7109375" style="57" bestFit="1" customWidth="1"/>
    <col min="13838" max="13838" width="6.5703125" style="57" bestFit="1" customWidth="1"/>
    <col min="13839" max="13839" width="2" style="57" bestFit="1" customWidth="1"/>
    <col min="13840" max="13840" width="6.5703125" style="57" bestFit="1" customWidth="1"/>
    <col min="13841" max="13841" width="2.7109375" style="57" bestFit="1" customWidth="1"/>
    <col min="13842" max="13842" width="1.7109375" style="57" bestFit="1" customWidth="1"/>
    <col min="13843" max="13843" width="6.5703125" style="57" bestFit="1" customWidth="1"/>
    <col min="13844" max="13844" width="2" style="57" bestFit="1" customWidth="1"/>
    <col min="13845" max="13845" width="6.5703125" style="57" bestFit="1" customWidth="1"/>
    <col min="13846" max="13846" width="2.42578125" style="57" bestFit="1" customWidth="1"/>
    <col min="13847" max="13847" width="2.42578125" style="57" customWidth="1"/>
    <col min="13848" max="13848" width="2.7109375" style="57" bestFit="1" customWidth="1"/>
    <col min="13849" max="13849" width="2" style="57" bestFit="1" customWidth="1"/>
    <col min="13850" max="13850" width="7.140625" style="57" bestFit="1" customWidth="1"/>
    <col min="13851" max="13851" width="7.42578125" style="57" customWidth="1"/>
    <col min="13852" max="13852" width="0" style="57" hidden="1" customWidth="1"/>
    <col min="13853" max="13855" width="9.140625" style="57"/>
    <col min="13856" max="13875" width="0" style="57" hidden="1" customWidth="1"/>
    <col min="13876" max="14080" width="9.140625" style="57"/>
    <col min="14081" max="14081" width="15.42578125" style="57" customWidth="1"/>
    <col min="14082" max="14082" width="9.140625" style="57"/>
    <col min="14083" max="14083" width="3.42578125" style="57" bestFit="1" customWidth="1"/>
    <col min="14084" max="14084" width="2.42578125" style="57" bestFit="1" customWidth="1"/>
    <col min="14085" max="14085" width="6.5703125" style="57" bestFit="1" customWidth="1"/>
    <col min="14086" max="14086" width="2" style="57" bestFit="1" customWidth="1"/>
    <col min="14087" max="14087" width="8.140625" style="57" customWidth="1"/>
    <col min="14088" max="14088" width="2" style="57" bestFit="1" customWidth="1"/>
    <col min="14089" max="14089" width="6.5703125" style="57" bestFit="1" customWidth="1"/>
    <col min="14090" max="14090" width="2" style="57" bestFit="1" customWidth="1"/>
    <col min="14091" max="14091" width="6.5703125" style="57" bestFit="1" customWidth="1"/>
    <col min="14092" max="14092" width="2.7109375" style="57" bestFit="1" customWidth="1"/>
    <col min="14093" max="14093" width="1.7109375" style="57" bestFit="1" customWidth="1"/>
    <col min="14094" max="14094" width="6.5703125" style="57" bestFit="1" customWidth="1"/>
    <col min="14095" max="14095" width="2" style="57" bestFit="1" customWidth="1"/>
    <col min="14096" max="14096" width="6.5703125" style="57" bestFit="1" customWidth="1"/>
    <col min="14097" max="14097" width="2.7109375" style="57" bestFit="1" customWidth="1"/>
    <col min="14098" max="14098" width="1.7109375" style="57" bestFit="1" customWidth="1"/>
    <col min="14099" max="14099" width="6.5703125" style="57" bestFit="1" customWidth="1"/>
    <col min="14100" max="14100" width="2" style="57" bestFit="1" customWidth="1"/>
    <col min="14101" max="14101" width="6.5703125" style="57" bestFit="1" customWidth="1"/>
    <col min="14102" max="14102" width="2.42578125" style="57" bestFit="1" customWidth="1"/>
    <col min="14103" max="14103" width="2.42578125" style="57" customWidth="1"/>
    <col min="14104" max="14104" width="2.7109375" style="57" bestFit="1" customWidth="1"/>
    <col min="14105" max="14105" width="2" style="57" bestFit="1" customWidth="1"/>
    <col min="14106" max="14106" width="7.140625" style="57" bestFit="1" customWidth="1"/>
    <col min="14107" max="14107" width="7.42578125" style="57" customWidth="1"/>
    <col min="14108" max="14108" width="0" style="57" hidden="1" customWidth="1"/>
    <col min="14109" max="14111" width="9.140625" style="57"/>
    <col min="14112" max="14131" width="0" style="57" hidden="1" customWidth="1"/>
    <col min="14132" max="14336" width="9.140625" style="57"/>
    <col min="14337" max="14337" width="15.42578125" style="57" customWidth="1"/>
    <col min="14338" max="14338" width="9.140625" style="57"/>
    <col min="14339" max="14339" width="3.42578125" style="57" bestFit="1" customWidth="1"/>
    <col min="14340" max="14340" width="2.42578125" style="57" bestFit="1" customWidth="1"/>
    <col min="14341" max="14341" width="6.5703125" style="57" bestFit="1" customWidth="1"/>
    <col min="14342" max="14342" width="2" style="57" bestFit="1" customWidth="1"/>
    <col min="14343" max="14343" width="8.140625" style="57" customWidth="1"/>
    <col min="14344" max="14344" width="2" style="57" bestFit="1" customWidth="1"/>
    <col min="14345" max="14345" width="6.5703125" style="57" bestFit="1" customWidth="1"/>
    <col min="14346" max="14346" width="2" style="57" bestFit="1" customWidth="1"/>
    <col min="14347" max="14347" width="6.5703125" style="57" bestFit="1" customWidth="1"/>
    <col min="14348" max="14348" width="2.7109375" style="57" bestFit="1" customWidth="1"/>
    <col min="14349" max="14349" width="1.7109375" style="57" bestFit="1" customWidth="1"/>
    <col min="14350" max="14350" width="6.5703125" style="57" bestFit="1" customWidth="1"/>
    <col min="14351" max="14351" width="2" style="57" bestFit="1" customWidth="1"/>
    <col min="14352" max="14352" width="6.5703125" style="57" bestFit="1" customWidth="1"/>
    <col min="14353" max="14353" width="2.7109375" style="57" bestFit="1" customWidth="1"/>
    <col min="14354" max="14354" width="1.7109375" style="57" bestFit="1" customWidth="1"/>
    <col min="14355" max="14355" width="6.5703125" style="57" bestFit="1" customWidth="1"/>
    <col min="14356" max="14356" width="2" style="57" bestFit="1" customWidth="1"/>
    <col min="14357" max="14357" width="6.5703125" style="57" bestFit="1" customWidth="1"/>
    <col min="14358" max="14358" width="2.42578125" style="57" bestFit="1" customWidth="1"/>
    <col min="14359" max="14359" width="2.42578125" style="57" customWidth="1"/>
    <col min="14360" max="14360" width="2.7109375" style="57" bestFit="1" customWidth="1"/>
    <col min="14361" max="14361" width="2" style="57" bestFit="1" customWidth="1"/>
    <col min="14362" max="14362" width="7.140625" style="57" bestFit="1" customWidth="1"/>
    <col min="14363" max="14363" width="7.42578125" style="57" customWidth="1"/>
    <col min="14364" max="14364" width="0" style="57" hidden="1" customWidth="1"/>
    <col min="14365" max="14367" width="9.140625" style="57"/>
    <col min="14368" max="14387" width="0" style="57" hidden="1" customWidth="1"/>
    <col min="14388" max="14592" width="9.140625" style="57"/>
    <col min="14593" max="14593" width="15.42578125" style="57" customWidth="1"/>
    <col min="14594" max="14594" width="9.140625" style="57"/>
    <col min="14595" max="14595" width="3.42578125" style="57" bestFit="1" customWidth="1"/>
    <col min="14596" max="14596" width="2.42578125" style="57" bestFit="1" customWidth="1"/>
    <col min="14597" max="14597" width="6.5703125" style="57" bestFit="1" customWidth="1"/>
    <col min="14598" max="14598" width="2" style="57" bestFit="1" customWidth="1"/>
    <col min="14599" max="14599" width="8.140625" style="57" customWidth="1"/>
    <col min="14600" max="14600" width="2" style="57" bestFit="1" customWidth="1"/>
    <col min="14601" max="14601" width="6.5703125" style="57" bestFit="1" customWidth="1"/>
    <col min="14602" max="14602" width="2" style="57" bestFit="1" customWidth="1"/>
    <col min="14603" max="14603" width="6.5703125" style="57" bestFit="1" customWidth="1"/>
    <col min="14604" max="14604" width="2.7109375" style="57" bestFit="1" customWidth="1"/>
    <col min="14605" max="14605" width="1.7109375" style="57" bestFit="1" customWidth="1"/>
    <col min="14606" max="14606" width="6.5703125" style="57" bestFit="1" customWidth="1"/>
    <col min="14607" max="14607" width="2" style="57" bestFit="1" customWidth="1"/>
    <col min="14608" max="14608" width="6.5703125" style="57" bestFit="1" customWidth="1"/>
    <col min="14609" max="14609" width="2.7109375" style="57" bestFit="1" customWidth="1"/>
    <col min="14610" max="14610" width="1.7109375" style="57" bestFit="1" customWidth="1"/>
    <col min="14611" max="14611" width="6.5703125" style="57" bestFit="1" customWidth="1"/>
    <col min="14612" max="14612" width="2" style="57" bestFit="1" customWidth="1"/>
    <col min="14613" max="14613" width="6.5703125" style="57" bestFit="1" customWidth="1"/>
    <col min="14614" max="14614" width="2.42578125" style="57" bestFit="1" customWidth="1"/>
    <col min="14615" max="14615" width="2.42578125" style="57" customWidth="1"/>
    <col min="14616" max="14616" width="2.7109375" style="57" bestFit="1" customWidth="1"/>
    <col min="14617" max="14617" width="2" style="57" bestFit="1" customWidth="1"/>
    <col min="14618" max="14618" width="7.140625" style="57" bestFit="1" customWidth="1"/>
    <col min="14619" max="14619" width="7.42578125" style="57" customWidth="1"/>
    <col min="14620" max="14620" width="0" style="57" hidden="1" customWidth="1"/>
    <col min="14621" max="14623" width="9.140625" style="57"/>
    <col min="14624" max="14643" width="0" style="57" hidden="1" customWidth="1"/>
    <col min="14644" max="14848" width="9.140625" style="57"/>
    <col min="14849" max="14849" width="15.42578125" style="57" customWidth="1"/>
    <col min="14850" max="14850" width="9.140625" style="57"/>
    <col min="14851" max="14851" width="3.42578125" style="57" bestFit="1" customWidth="1"/>
    <col min="14852" max="14852" width="2.42578125" style="57" bestFit="1" customWidth="1"/>
    <col min="14853" max="14853" width="6.5703125" style="57" bestFit="1" customWidth="1"/>
    <col min="14854" max="14854" width="2" style="57" bestFit="1" customWidth="1"/>
    <col min="14855" max="14855" width="8.140625" style="57" customWidth="1"/>
    <col min="14856" max="14856" width="2" style="57" bestFit="1" customWidth="1"/>
    <col min="14857" max="14857" width="6.5703125" style="57" bestFit="1" customWidth="1"/>
    <col min="14858" max="14858" width="2" style="57" bestFit="1" customWidth="1"/>
    <col min="14859" max="14859" width="6.5703125" style="57" bestFit="1" customWidth="1"/>
    <col min="14860" max="14860" width="2.7109375" style="57" bestFit="1" customWidth="1"/>
    <col min="14861" max="14861" width="1.7109375" style="57" bestFit="1" customWidth="1"/>
    <col min="14862" max="14862" width="6.5703125" style="57" bestFit="1" customWidth="1"/>
    <col min="14863" max="14863" width="2" style="57" bestFit="1" customWidth="1"/>
    <col min="14864" max="14864" width="6.5703125" style="57" bestFit="1" customWidth="1"/>
    <col min="14865" max="14865" width="2.7109375" style="57" bestFit="1" customWidth="1"/>
    <col min="14866" max="14866" width="1.7109375" style="57" bestFit="1" customWidth="1"/>
    <col min="14867" max="14867" width="6.5703125" style="57" bestFit="1" customWidth="1"/>
    <col min="14868" max="14868" width="2" style="57" bestFit="1" customWidth="1"/>
    <col min="14869" max="14869" width="6.5703125" style="57" bestFit="1" customWidth="1"/>
    <col min="14870" max="14870" width="2.42578125" style="57" bestFit="1" customWidth="1"/>
    <col min="14871" max="14871" width="2.42578125" style="57" customWidth="1"/>
    <col min="14872" max="14872" width="2.7109375" style="57" bestFit="1" customWidth="1"/>
    <col min="14873" max="14873" width="2" style="57" bestFit="1" customWidth="1"/>
    <col min="14874" max="14874" width="7.140625" style="57" bestFit="1" customWidth="1"/>
    <col min="14875" max="14875" width="7.42578125" style="57" customWidth="1"/>
    <col min="14876" max="14876" width="0" style="57" hidden="1" customWidth="1"/>
    <col min="14877" max="14879" width="9.140625" style="57"/>
    <col min="14880" max="14899" width="0" style="57" hidden="1" customWidth="1"/>
    <col min="14900" max="15104" width="9.140625" style="57"/>
    <col min="15105" max="15105" width="15.42578125" style="57" customWidth="1"/>
    <col min="15106" max="15106" width="9.140625" style="57"/>
    <col min="15107" max="15107" width="3.42578125" style="57" bestFit="1" customWidth="1"/>
    <col min="15108" max="15108" width="2.42578125" style="57" bestFit="1" customWidth="1"/>
    <col min="15109" max="15109" width="6.5703125" style="57" bestFit="1" customWidth="1"/>
    <col min="15110" max="15110" width="2" style="57" bestFit="1" customWidth="1"/>
    <col min="15111" max="15111" width="8.140625" style="57" customWidth="1"/>
    <col min="15112" max="15112" width="2" style="57" bestFit="1" customWidth="1"/>
    <col min="15113" max="15113" width="6.5703125" style="57" bestFit="1" customWidth="1"/>
    <col min="15114" max="15114" width="2" style="57" bestFit="1" customWidth="1"/>
    <col min="15115" max="15115" width="6.5703125" style="57" bestFit="1" customWidth="1"/>
    <col min="15116" max="15116" width="2.7109375" style="57" bestFit="1" customWidth="1"/>
    <col min="15117" max="15117" width="1.7109375" style="57" bestFit="1" customWidth="1"/>
    <col min="15118" max="15118" width="6.5703125" style="57" bestFit="1" customWidth="1"/>
    <col min="15119" max="15119" width="2" style="57" bestFit="1" customWidth="1"/>
    <col min="15120" max="15120" width="6.5703125" style="57" bestFit="1" customWidth="1"/>
    <col min="15121" max="15121" width="2.7109375" style="57" bestFit="1" customWidth="1"/>
    <col min="15122" max="15122" width="1.7109375" style="57" bestFit="1" customWidth="1"/>
    <col min="15123" max="15123" width="6.5703125" style="57" bestFit="1" customWidth="1"/>
    <col min="15124" max="15124" width="2" style="57" bestFit="1" customWidth="1"/>
    <col min="15125" max="15125" width="6.5703125" style="57" bestFit="1" customWidth="1"/>
    <col min="15126" max="15126" width="2.42578125" style="57" bestFit="1" customWidth="1"/>
    <col min="15127" max="15127" width="2.42578125" style="57" customWidth="1"/>
    <col min="15128" max="15128" width="2.7109375" style="57" bestFit="1" customWidth="1"/>
    <col min="15129" max="15129" width="2" style="57" bestFit="1" customWidth="1"/>
    <col min="15130" max="15130" width="7.140625" style="57" bestFit="1" customWidth="1"/>
    <col min="15131" max="15131" width="7.42578125" style="57" customWidth="1"/>
    <col min="15132" max="15132" width="0" style="57" hidden="1" customWidth="1"/>
    <col min="15133" max="15135" width="9.140625" style="57"/>
    <col min="15136" max="15155" width="0" style="57" hidden="1" customWidth="1"/>
    <col min="15156" max="15360" width="9.140625" style="57"/>
    <col min="15361" max="15361" width="15.42578125" style="57" customWidth="1"/>
    <col min="15362" max="15362" width="9.140625" style="57"/>
    <col min="15363" max="15363" width="3.42578125" style="57" bestFit="1" customWidth="1"/>
    <col min="15364" max="15364" width="2.42578125" style="57" bestFit="1" customWidth="1"/>
    <col min="15365" max="15365" width="6.5703125" style="57" bestFit="1" customWidth="1"/>
    <col min="15366" max="15366" width="2" style="57" bestFit="1" customWidth="1"/>
    <col min="15367" max="15367" width="8.140625" style="57" customWidth="1"/>
    <col min="15368" max="15368" width="2" style="57" bestFit="1" customWidth="1"/>
    <col min="15369" max="15369" width="6.5703125" style="57" bestFit="1" customWidth="1"/>
    <col min="15370" max="15370" width="2" style="57" bestFit="1" customWidth="1"/>
    <col min="15371" max="15371" width="6.5703125" style="57" bestFit="1" customWidth="1"/>
    <col min="15372" max="15372" width="2.7109375" style="57" bestFit="1" customWidth="1"/>
    <col min="15373" max="15373" width="1.7109375" style="57" bestFit="1" customWidth="1"/>
    <col min="15374" max="15374" width="6.5703125" style="57" bestFit="1" customWidth="1"/>
    <col min="15375" max="15375" width="2" style="57" bestFit="1" customWidth="1"/>
    <col min="15376" max="15376" width="6.5703125" style="57" bestFit="1" customWidth="1"/>
    <col min="15377" max="15377" width="2.7109375" style="57" bestFit="1" customWidth="1"/>
    <col min="15378" max="15378" width="1.7109375" style="57" bestFit="1" customWidth="1"/>
    <col min="15379" max="15379" width="6.5703125" style="57" bestFit="1" customWidth="1"/>
    <col min="15380" max="15380" width="2" style="57" bestFit="1" customWidth="1"/>
    <col min="15381" max="15381" width="6.5703125" style="57" bestFit="1" customWidth="1"/>
    <col min="15382" max="15382" width="2.42578125" style="57" bestFit="1" customWidth="1"/>
    <col min="15383" max="15383" width="2.42578125" style="57" customWidth="1"/>
    <col min="15384" max="15384" width="2.7109375" style="57" bestFit="1" customWidth="1"/>
    <col min="15385" max="15385" width="2" style="57" bestFit="1" customWidth="1"/>
    <col min="15386" max="15386" width="7.140625" style="57" bestFit="1" customWidth="1"/>
    <col min="15387" max="15387" width="7.42578125" style="57" customWidth="1"/>
    <col min="15388" max="15388" width="0" style="57" hidden="1" customWidth="1"/>
    <col min="15389" max="15391" width="9.140625" style="57"/>
    <col min="15392" max="15411" width="0" style="57" hidden="1" customWidth="1"/>
    <col min="15412" max="15616" width="9.140625" style="57"/>
    <col min="15617" max="15617" width="15.42578125" style="57" customWidth="1"/>
    <col min="15618" max="15618" width="9.140625" style="57"/>
    <col min="15619" max="15619" width="3.42578125" style="57" bestFit="1" customWidth="1"/>
    <col min="15620" max="15620" width="2.42578125" style="57" bestFit="1" customWidth="1"/>
    <col min="15621" max="15621" width="6.5703125" style="57" bestFit="1" customWidth="1"/>
    <col min="15622" max="15622" width="2" style="57" bestFit="1" customWidth="1"/>
    <col min="15623" max="15623" width="8.140625" style="57" customWidth="1"/>
    <col min="15624" max="15624" width="2" style="57" bestFit="1" customWidth="1"/>
    <col min="15625" max="15625" width="6.5703125" style="57" bestFit="1" customWidth="1"/>
    <col min="15626" max="15626" width="2" style="57" bestFit="1" customWidth="1"/>
    <col min="15627" max="15627" width="6.5703125" style="57" bestFit="1" customWidth="1"/>
    <col min="15628" max="15628" width="2.7109375" style="57" bestFit="1" customWidth="1"/>
    <col min="15629" max="15629" width="1.7109375" style="57" bestFit="1" customWidth="1"/>
    <col min="15630" max="15630" width="6.5703125" style="57" bestFit="1" customWidth="1"/>
    <col min="15631" max="15631" width="2" style="57" bestFit="1" customWidth="1"/>
    <col min="15632" max="15632" width="6.5703125" style="57" bestFit="1" customWidth="1"/>
    <col min="15633" max="15633" width="2.7109375" style="57" bestFit="1" customWidth="1"/>
    <col min="15634" max="15634" width="1.7109375" style="57" bestFit="1" customWidth="1"/>
    <col min="15635" max="15635" width="6.5703125" style="57" bestFit="1" customWidth="1"/>
    <col min="15636" max="15636" width="2" style="57" bestFit="1" customWidth="1"/>
    <col min="15637" max="15637" width="6.5703125" style="57" bestFit="1" customWidth="1"/>
    <col min="15638" max="15638" width="2.42578125" style="57" bestFit="1" customWidth="1"/>
    <col min="15639" max="15639" width="2.42578125" style="57" customWidth="1"/>
    <col min="15640" max="15640" width="2.7109375" style="57" bestFit="1" customWidth="1"/>
    <col min="15641" max="15641" width="2" style="57" bestFit="1" customWidth="1"/>
    <col min="15642" max="15642" width="7.140625" style="57" bestFit="1" customWidth="1"/>
    <col min="15643" max="15643" width="7.42578125" style="57" customWidth="1"/>
    <col min="15644" max="15644" width="0" style="57" hidden="1" customWidth="1"/>
    <col min="15645" max="15647" width="9.140625" style="57"/>
    <col min="15648" max="15667" width="0" style="57" hidden="1" customWidth="1"/>
    <col min="15668" max="15872" width="9.140625" style="57"/>
    <col min="15873" max="15873" width="15.42578125" style="57" customWidth="1"/>
    <col min="15874" max="15874" width="9.140625" style="57"/>
    <col min="15875" max="15875" width="3.42578125" style="57" bestFit="1" customWidth="1"/>
    <col min="15876" max="15876" width="2.42578125" style="57" bestFit="1" customWidth="1"/>
    <col min="15877" max="15877" width="6.5703125" style="57" bestFit="1" customWidth="1"/>
    <col min="15878" max="15878" width="2" style="57" bestFit="1" customWidth="1"/>
    <col min="15879" max="15879" width="8.140625" style="57" customWidth="1"/>
    <col min="15880" max="15880" width="2" style="57" bestFit="1" customWidth="1"/>
    <col min="15881" max="15881" width="6.5703125" style="57" bestFit="1" customWidth="1"/>
    <col min="15882" max="15882" width="2" style="57" bestFit="1" customWidth="1"/>
    <col min="15883" max="15883" width="6.5703125" style="57" bestFit="1" customWidth="1"/>
    <col min="15884" max="15884" width="2.7109375" style="57" bestFit="1" customWidth="1"/>
    <col min="15885" max="15885" width="1.7109375" style="57" bestFit="1" customWidth="1"/>
    <col min="15886" max="15886" width="6.5703125" style="57" bestFit="1" customWidth="1"/>
    <col min="15887" max="15887" width="2" style="57" bestFit="1" customWidth="1"/>
    <col min="15888" max="15888" width="6.5703125" style="57" bestFit="1" customWidth="1"/>
    <col min="15889" max="15889" width="2.7109375" style="57" bestFit="1" customWidth="1"/>
    <col min="15890" max="15890" width="1.7109375" style="57" bestFit="1" customWidth="1"/>
    <col min="15891" max="15891" width="6.5703125" style="57" bestFit="1" customWidth="1"/>
    <col min="15892" max="15892" width="2" style="57" bestFit="1" customWidth="1"/>
    <col min="15893" max="15893" width="6.5703125" style="57" bestFit="1" customWidth="1"/>
    <col min="15894" max="15894" width="2.42578125" style="57" bestFit="1" customWidth="1"/>
    <col min="15895" max="15895" width="2.42578125" style="57" customWidth="1"/>
    <col min="15896" max="15896" width="2.7109375" style="57" bestFit="1" customWidth="1"/>
    <col min="15897" max="15897" width="2" style="57" bestFit="1" customWidth="1"/>
    <col min="15898" max="15898" width="7.140625" style="57" bestFit="1" customWidth="1"/>
    <col min="15899" max="15899" width="7.42578125" style="57" customWidth="1"/>
    <col min="15900" max="15900" width="0" style="57" hidden="1" customWidth="1"/>
    <col min="15901" max="15903" width="9.140625" style="57"/>
    <col min="15904" max="15923" width="0" style="57" hidden="1" customWidth="1"/>
    <col min="15924" max="16128" width="9.140625" style="57"/>
    <col min="16129" max="16129" width="15.42578125" style="57" customWidth="1"/>
    <col min="16130" max="16130" width="9.140625" style="57"/>
    <col min="16131" max="16131" width="3.42578125" style="57" bestFit="1" customWidth="1"/>
    <col min="16132" max="16132" width="2.42578125" style="57" bestFit="1" customWidth="1"/>
    <col min="16133" max="16133" width="6.5703125" style="57" bestFit="1" customWidth="1"/>
    <col min="16134" max="16134" width="2" style="57" bestFit="1" customWidth="1"/>
    <col min="16135" max="16135" width="8.140625" style="57" customWidth="1"/>
    <col min="16136" max="16136" width="2" style="57" bestFit="1" customWidth="1"/>
    <col min="16137" max="16137" width="6.5703125" style="57" bestFit="1" customWidth="1"/>
    <col min="16138" max="16138" width="2" style="57" bestFit="1" customWidth="1"/>
    <col min="16139" max="16139" width="6.5703125" style="57" bestFit="1" customWidth="1"/>
    <col min="16140" max="16140" width="2.7109375" style="57" bestFit="1" customWidth="1"/>
    <col min="16141" max="16141" width="1.7109375" style="57" bestFit="1" customWidth="1"/>
    <col min="16142" max="16142" width="6.5703125" style="57" bestFit="1" customWidth="1"/>
    <col min="16143" max="16143" width="2" style="57" bestFit="1" customWidth="1"/>
    <col min="16144" max="16144" width="6.5703125" style="57" bestFit="1" customWidth="1"/>
    <col min="16145" max="16145" width="2.7109375" style="57" bestFit="1" customWidth="1"/>
    <col min="16146" max="16146" width="1.7109375" style="57" bestFit="1" customWidth="1"/>
    <col min="16147" max="16147" width="6.5703125" style="57" bestFit="1" customWidth="1"/>
    <col min="16148" max="16148" width="2" style="57" bestFit="1" customWidth="1"/>
    <col min="16149" max="16149" width="6.5703125" style="57" bestFit="1" customWidth="1"/>
    <col min="16150" max="16150" width="2.42578125" style="57" bestFit="1" customWidth="1"/>
    <col min="16151" max="16151" width="2.42578125" style="57" customWidth="1"/>
    <col min="16152" max="16152" width="2.7109375" style="57" bestFit="1" customWidth="1"/>
    <col min="16153" max="16153" width="2" style="57" bestFit="1" customWidth="1"/>
    <col min="16154" max="16154" width="7.140625" style="57" bestFit="1" customWidth="1"/>
    <col min="16155" max="16155" width="7.42578125" style="57" customWidth="1"/>
    <col min="16156" max="16156" width="0" style="57" hidden="1" customWidth="1"/>
    <col min="16157" max="16159" width="9.140625" style="57"/>
    <col min="16160" max="16179" width="0" style="57" hidden="1" customWidth="1"/>
    <col min="16180" max="16384" width="9.140625" style="57"/>
  </cols>
  <sheetData>
    <row r="1" spans="1:56" ht="60" customHeight="1" x14ac:dyDescent="0.25">
      <c r="A1" s="287" t="s">
        <v>28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8"/>
      <c r="U1" s="288"/>
      <c r="V1" s="288"/>
      <c r="W1" s="288"/>
      <c r="X1" s="288"/>
      <c r="Y1" s="288"/>
      <c r="Z1" s="288"/>
      <c r="AA1" s="289"/>
      <c r="AB1">
        <v>1</v>
      </c>
      <c r="AF1" s="57" t="s">
        <v>29</v>
      </c>
      <c r="AG1" s="58">
        <v>0.04</v>
      </c>
      <c r="AH1" s="59">
        <v>8.0000000000000002E-3</v>
      </c>
      <c r="AI1" s="59">
        <v>1.2699999999999999E-2</v>
      </c>
      <c r="AJ1" s="59">
        <v>1.23E-2</v>
      </c>
      <c r="AK1" s="59">
        <v>7.3999999999999996E-2</v>
      </c>
      <c r="AL1" s="59"/>
      <c r="AM1" s="57" t="s">
        <v>29</v>
      </c>
      <c r="AN1" s="59">
        <v>0.03</v>
      </c>
      <c r="AO1" s="59">
        <v>8.0000000000000002E-3</v>
      </c>
      <c r="AP1" s="59">
        <v>9.7000000000000003E-3</v>
      </c>
      <c r="AQ1" s="59">
        <v>5.8999999999999999E-3</v>
      </c>
      <c r="AR1" s="59">
        <v>6.1600000000000002E-2</v>
      </c>
      <c r="AS1" s="59"/>
      <c r="AT1" s="57" t="s">
        <v>29</v>
      </c>
      <c r="AU1" s="59">
        <v>5.5E-2</v>
      </c>
      <c r="AV1" s="59">
        <v>0.01</v>
      </c>
      <c r="AW1" s="59">
        <v>1.2699999999999999E-2</v>
      </c>
      <c r="AX1" s="59">
        <v>1.3899999999999999E-2</v>
      </c>
      <c r="AY1" s="59">
        <v>8.9599999999999999E-2</v>
      </c>
      <c r="AZ1" s="59"/>
      <c r="BA1" s="59"/>
      <c r="BB1" s="59"/>
      <c r="BC1" s="59"/>
      <c r="BD1" s="59"/>
    </row>
    <row r="2" spans="1:56" x14ac:dyDescent="0.25">
      <c r="A2" s="60" t="s">
        <v>30</v>
      </c>
      <c r="B2" s="61" t="s">
        <v>31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290" t="s">
        <v>32</v>
      </c>
      <c r="T2" s="290"/>
      <c r="U2" s="290"/>
      <c r="V2" s="290"/>
      <c r="W2" s="290"/>
      <c r="X2" s="290"/>
      <c r="Y2" s="61"/>
      <c r="Z2" s="291" t="s">
        <v>33</v>
      </c>
      <c r="AA2" s="292"/>
      <c r="AB2"/>
      <c r="AF2" s="62" t="s">
        <v>34</v>
      </c>
      <c r="AG2" s="58">
        <v>4.0099999999999997E-2</v>
      </c>
      <c r="AH2" s="59">
        <v>4.0000000000000001E-3</v>
      </c>
      <c r="AI2" s="59">
        <v>5.5999999999999999E-3</v>
      </c>
      <c r="AJ2" s="59">
        <v>1.11E-2</v>
      </c>
      <c r="AK2" s="59">
        <v>7.2999999999999995E-2</v>
      </c>
      <c r="AL2" s="59"/>
      <c r="AM2" s="62" t="s">
        <v>34</v>
      </c>
      <c r="AN2" s="59">
        <v>3.7999999999999999E-2</v>
      </c>
      <c r="AO2" s="59">
        <v>3.2000000000000002E-3</v>
      </c>
      <c r="AP2" s="59">
        <v>5.0000000000000001E-3</v>
      </c>
      <c r="AQ2" s="59">
        <v>1.0200000000000001E-2</v>
      </c>
      <c r="AR2" s="59">
        <v>6.6400000000000001E-2</v>
      </c>
      <c r="AS2" s="59"/>
      <c r="AT2" s="62" t="s">
        <v>34</v>
      </c>
      <c r="AU2" s="59">
        <v>4.6699999999999998E-2</v>
      </c>
      <c r="AV2" s="59">
        <v>7.4000000000000003E-3</v>
      </c>
      <c r="AW2" s="59">
        <v>9.7000000000000003E-3</v>
      </c>
      <c r="AX2" s="59">
        <v>1.21E-2</v>
      </c>
      <c r="AY2" s="59">
        <v>8.6900000000000005E-2</v>
      </c>
      <c r="AZ2" s="59"/>
      <c r="BA2" s="59"/>
      <c r="BB2" s="59"/>
      <c r="BC2" s="59"/>
      <c r="BD2" s="59"/>
    </row>
    <row r="3" spans="1:56" x14ac:dyDescent="0.25">
      <c r="A3" s="60" t="s">
        <v>35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293" t="s">
        <v>36</v>
      </c>
      <c r="T3" s="293"/>
      <c r="U3" s="293"/>
      <c r="V3" s="293"/>
      <c r="W3" s="293"/>
      <c r="X3" s="293"/>
      <c r="Y3" s="61"/>
      <c r="Z3" s="294">
        <v>45139</v>
      </c>
      <c r="AA3" s="295"/>
      <c r="AB3"/>
      <c r="AF3" s="57" t="s">
        <v>37</v>
      </c>
      <c r="AG3" s="58">
        <v>4.9299999999999997E-2</v>
      </c>
      <c r="AH3" s="59">
        <v>4.8999999999999998E-3</v>
      </c>
      <c r="AI3" s="59">
        <v>1.3899999999999999E-2</v>
      </c>
      <c r="AJ3" s="59">
        <v>9.9000000000000008E-3</v>
      </c>
      <c r="AK3" s="59">
        <v>8.0399999999999999E-2</v>
      </c>
      <c r="AL3" s="59"/>
      <c r="AM3" s="57" t="s">
        <v>37</v>
      </c>
      <c r="AN3" s="59">
        <v>3.4299999999999997E-2</v>
      </c>
      <c r="AO3" s="59">
        <v>2.8E-3</v>
      </c>
      <c r="AP3" s="59">
        <v>0.01</v>
      </c>
      <c r="AQ3" s="59">
        <v>9.4000000000000004E-3</v>
      </c>
      <c r="AR3" s="59">
        <v>6.7400000000000002E-2</v>
      </c>
      <c r="AS3" s="59"/>
      <c r="AT3" s="57" t="s">
        <v>37</v>
      </c>
      <c r="AU3" s="59">
        <v>6.7100000000000007E-2</v>
      </c>
      <c r="AV3" s="59">
        <v>7.4999999999999997E-3</v>
      </c>
      <c r="AW3" s="59">
        <v>1.7399999999999999E-2</v>
      </c>
      <c r="AX3" s="59">
        <v>1.17E-2</v>
      </c>
      <c r="AY3" s="59">
        <v>9.4E-2</v>
      </c>
      <c r="AZ3" s="59"/>
      <c r="BA3" s="59"/>
      <c r="BB3" s="59"/>
      <c r="BC3" s="59"/>
      <c r="BD3" s="59"/>
    </row>
    <row r="4" spans="1:56" ht="15.75" thickBot="1" x14ac:dyDescent="0.3">
      <c r="A4" s="60" t="s">
        <v>38</v>
      </c>
      <c r="B4" s="61" t="s">
        <v>264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284" t="s">
        <v>39</v>
      </c>
      <c r="T4" s="284"/>
      <c r="U4" s="284"/>
      <c r="V4" s="284"/>
      <c r="W4" s="284"/>
      <c r="X4" s="284"/>
      <c r="Y4" s="61"/>
      <c r="Z4" s="285"/>
      <c r="AA4" s="286"/>
      <c r="AB4"/>
      <c r="AF4" s="62" t="s">
        <v>40</v>
      </c>
      <c r="AG4" s="58">
        <v>5.9200000000000003E-2</v>
      </c>
      <c r="AH4" s="59">
        <v>5.1000000000000004E-3</v>
      </c>
      <c r="AI4" s="59">
        <v>1.4800000000000001E-2</v>
      </c>
      <c r="AJ4" s="59">
        <v>1.0699999999999999E-2</v>
      </c>
      <c r="AK4" s="59">
        <v>8.3099999999999993E-2</v>
      </c>
      <c r="AL4" s="59"/>
      <c r="AM4" s="62" t="s">
        <v>40</v>
      </c>
      <c r="AN4" s="59">
        <v>5.2900000000000003E-2</v>
      </c>
      <c r="AO4" s="59">
        <v>2.5000000000000001E-3</v>
      </c>
      <c r="AP4" s="59">
        <v>0.01</v>
      </c>
      <c r="AQ4" s="59">
        <v>1.01E-2</v>
      </c>
      <c r="AR4" s="59">
        <v>0.08</v>
      </c>
      <c r="AS4" s="59"/>
      <c r="AT4" s="62" t="s">
        <v>40</v>
      </c>
      <c r="AU4" s="59">
        <v>7.9299999999999995E-2</v>
      </c>
      <c r="AV4" s="59">
        <v>5.5999999999999999E-3</v>
      </c>
      <c r="AW4" s="59">
        <v>1.9699999999999999E-2</v>
      </c>
      <c r="AX4" s="59">
        <v>1.11E-2</v>
      </c>
      <c r="AY4" s="59">
        <v>9.5100000000000004E-2</v>
      </c>
      <c r="AZ4" s="59"/>
      <c r="BA4" s="59"/>
      <c r="BB4" s="59"/>
      <c r="BC4" s="59"/>
      <c r="BD4" s="59"/>
    </row>
    <row r="5" spans="1:56" ht="15.75" thickBot="1" x14ac:dyDescent="0.3">
      <c r="A5" s="276" t="s">
        <v>29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8"/>
      <c r="AB5"/>
      <c r="AF5" s="62" t="s">
        <v>41</v>
      </c>
      <c r="AG5" s="58">
        <v>5.5199999999999999E-2</v>
      </c>
      <c r="AH5" s="59">
        <v>1.2200000000000001E-2</v>
      </c>
      <c r="AI5" s="59">
        <v>2.3199999999999998E-2</v>
      </c>
      <c r="AJ5" s="59">
        <v>1.0200000000000001E-2</v>
      </c>
      <c r="AK5" s="59">
        <v>8.4000000000000005E-2</v>
      </c>
      <c r="AL5" s="59"/>
      <c r="AM5" s="62" t="s">
        <v>41</v>
      </c>
      <c r="AN5" s="59">
        <v>0.04</v>
      </c>
      <c r="AO5" s="59">
        <v>8.0999999999999996E-3</v>
      </c>
      <c r="AP5" s="59">
        <v>1.46E-2</v>
      </c>
      <c r="AQ5" s="59">
        <v>9.4000000000000004E-3</v>
      </c>
      <c r="AR5" s="59">
        <v>7.1400000000000005E-2</v>
      </c>
      <c r="AS5" s="59"/>
      <c r="AT5" s="62" t="s">
        <v>41</v>
      </c>
      <c r="AU5" s="59">
        <v>7.85E-2</v>
      </c>
      <c r="AV5" s="59">
        <v>1.9900000000000001E-2</v>
      </c>
      <c r="AW5" s="59">
        <v>3.1600000000000003E-2</v>
      </c>
      <c r="AX5" s="59">
        <v>1.3299999999999999E-2</v>
      </c>
      <c r="AY5" s="59">
        <v>0.1043</v>
      </c>
      <c r="AZ5" s="59"/>
      <c r="BA5" s="59"/>
      <c r="BB5" s="59"/>
      <c r="BC5" s="59"/>
      <c r="BD5" s="59"/>
    </row>
    <row r="6" spans="1:56" x14ac:dyDescent="0.25">
      <c r="A6" s="63"/>
      <c r="B6" s="64"/>
      <c r="C6" s="64"/>
      <c r="D6" s="64"/>
      <c r="E6" s="64"/>
      <c r="F6" s="65"/>
      <c r="G6" s="65"/>
      <c r="H6" s="65"/>
      <c r="I6" s="65"/>
      <c r="J6" s="65"/>
      <c r="K6" s="65"/>
      <c r="L6" s="65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6"/>
      <c r="AB6"/>
      <c r="AF6" s="57" t="s">
        <v>42</v>
      </c>
      <c r="AG6" s="59">
        <v>4.9299999999999997E-2</v>
      </c>
      <c r="AH6" s="59">
        <v>4.8999999999999998E-3</v>
      </c>
      <c r="AI6" s="59">
        <v>1.3899999999999999E-2</v>
      </c>
      <c r="AJ6" s="59">
        <v>9.9000000000000008E-3</v>
      </c>
      <c r="AK6" s="59">
        <v>8.0399999999999999E-2</v>
      </c>
      <c r="AM6" s="57" t="s">
        <v>42</v>
      </c>
      <c r="AN6" s="59">
        <v>4.9299999999999997E-2</v>
      </c>
      <c r="AO6" s="59">
        <v>4.8999999999999998E-3</v>
      </c>
      <c r="AP6" s="59">
        <v>1.3899999999999999E-2</v>
      </c>
      <c r="AQ6" s="59">
        <v>9.9000000000000008E-3</v>
      </c>
      <c r="AR6" s="59">
        <v>8.0399999999999999E-2</v>
      </c>
      <c r="AT6" s="57" t="s">
        <v>42</v>
      </c>
      <c r="AU6" s="59">
        <v>4.9299999999999997E-2</v>
      </c>
      <c r="AV6" s="59">
        <v>4.8999999999999998E-3</v>
      </c>
      <c r="AW6" s="59">
        <v>1.3899999999999999E-2</v>
      </c>
      <c r="AX6" s="59">
        <v>9.9000000000000008E-3</v>
      </c>
      <c r="AY6" s="59">
        <v>8.0399999999999999E-2</v>
      </c>
    </row>
    <row r="7" spans="1:56" x14ac:dyDescent="0.25">
      <c r="A7" s="67" t="s">
        <v>43</v>
      </c>
      <c r="B7" s="68" t="s">
        <v>44</v>
      </c>
      <c r="C7" s="69"/>
      <c r="D7" s="8"/>
      <c r="E7" s="8"/>
      <c r="F7" s="70"/>
      <c r="G7" s="71">
        <f>IF($S$4="QUARTIL MÉDIO",VLOOKUP($A$5,$AF$1:$AK$6,2,0),IF($S$4="PRIMEIRO QUARTIL",VLOOKUP($A$5,$AM$1:$AR$6,2,0),IF($S$4="TERCEIRO QUARTIL",VLOOKUP($A$5,$AT$1:$AY$6,2,0))))</f>
        <v>5.5E-2</v>
      </c>
      <c r="H7" s="70"/>
      <c r="I7" s="70"/>
      <c r="J7" s="70"/>
      <c r="K7" s="8"/>
      <c r="L7" s="70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72"/>
      <c r="AB7"/>
    </row>
    <row r="8" spans="1:56" ht="18.75" customHeight="1" x14ac:dyDescent="0.25">
      <c r="A8" s="67" t="s">
        <v>45</v>
      </c>
      <c r="B8" s="68" t="s">
        <v>46</v>
      </c>
      <c r="C8" s="69"/>
      <c r="D8" s="8"/>
      <c r="E8" s="8"/>
      <c r="F8" s="70"/>
      <c r="G8" s="71">
        <v>0.01</v>
      </c>
      <c r="H8" s="70"/>
      <c r="I8" s="70"/>
      <c r="J8" s="70"/>
      <c r="K8" s="8"/>
      <c r="L8" s="70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72"/>
      <c r="AB8"/>
      <c r="AG8" s="57" t="s">
        <v>47</v>
      </c>
      <c r="AN8" s="57" t="s">
        <v>48</v>
      </c>
      <c r="AU8" s="57" t="s">
        <v>49</v>
      </c>
    </row>
    <row r="9" spans="1:56" ht="18.75" customHeight="1" x14ac:dyDescent="0.25">
      <c r="A9" s="67" t="s">
        <v>50</v>
      </c>
      <c r="B9" s="68" t="s">
        <v>51</v>
      </c>
      <c r="C9" s="69"/>
      <c r="D9" s="8"/>
      <c r="E9" s="8"/>
      <c r="F9" s="70"/>
      <c r="G9" s="71">
        <v>1.2699999999999999E-2</v>
      </c>
      <c r="H9" s="70"/>
      <c r="I9" s="70"/>
      <c r="J9" s="70"/>
      <c r="K9" s="8"/>
      <c r="L9" s="70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72"/>
      <c r="AB9"/>
      <c r="AG9" s="57" t="s">
        <v>52</v>
      </c>
      <c r="AH9" s="57" t="s">
        <v>53</v>
      </c>
      <c r="AI9" s="57" t="s">
        <v>54</v>
      </c>
      <c r="AJ9" s="57" t="s">
        <v>55</v>
      </c>
      <c r="AK9" s="57" t="s">
        <v>56</v>
      </c>
      <c r="AN9" s="57" t="s">
        <v>52</v>
      </c>
      <c r="AO9" s="57" t="s">
        <v>53</v>
      </c>
      <c r="AP9" s="57" t="s">
        <v>54</v>
      </c>
      <c r="AQ9" s="57" t="s">
        <v>55</v>
      </c>
      <c r="AR9" s="57" t="s">
        <v>56</v>
      </c>
      <c r="AU9" s="57" t="s">
        <v>52</v>
      </c>
      <c r="AV9" s="57" t="s">
        <v>53</v>
      </c>
      <c r="AW9" s="57" t="s">
        <v>54</v>
      </c>
      <c r="AX9" s="57" t="s">
        <v>55</v>
      </c>
      <c r="AY9" s="57" t="s">
        <v>56</v>
      </c>
    </row>
    <row r="10" spans="1:56" ht="18.75" customHeight="1" x14ac:dyDescent="0.25">
      <c r="A10" s="67" t="s">
        <v>57</v>
      </c>
      <c r="B10" s="68" t="s">
        <v>58</v>
      </c>
      <c r="C10" s="69"/>
      <c r="D10" s="8"/>
      <c r="E10" s="8"/>
      <c r="F10" s="70"/>
      <c r="G10" s="71">
        <v>9.2999999999999992E-3</v>
      </c>
      <c r="H10" s="70"/>
      <c r="I10" s="70"/>
      <c r="J10" s="70"/>
      <c r="K10" s="8"/>
      <c r="L10" s="70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72"/>
      <c r="AB10"/>
    </row>
    <row r="11" spans="1:56" ht="18.75" customHeight="1" x14ac:dyDescent="0.25">
      <c r="A11" s="67" t="s">
        <v>59</v>
      </c>
      <c r="B11" s="68" t="s">
        <v>60</v>
      </c>
      <c r="C11" s="69"/>
      <c r="D11" s="8"/>
      <c r="E11" s="8"/>
      <c r="F11" s="70"/>
      <c r="G11" s="71">
        <v>7.4999999999999997E-2</v>
      </c>
      <c r="H11" s="70"/>
      <c r="I11" s="70"/>
      <c r="J11" s="70"/>
      <c r="K11" s="8"/>
      <c r="L11" s="70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72"/>
      <c r="AB11"/>
      <c r="AK11" s="59"/>
    </row>
    <row r="12" spans="1:56" ht="18.75" customHeight="1" x14ac:dyDescent="0.25">
      <c r="A12" s="67" t="s">
        <v>61</v>
      </c>
      <c r="B12" s="68" t="s">
        <v>62</v>
      </c>
      <c r="C12" s="69"/>
      <c r="D12" s="8"/>
      <c r="E12" s="8"/>
      <c r="F12" s="70"/>
      <c r="G12" s="71">
        <v>4.65E-2</v>
      </c>
      <c r="H12" s="70"/>
      <c r="I12" s="70"/>
      <c r="J12" s="70"/>
      <c r="K12" s="8"/>
      <c r="L12" s="70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72"/>
      <c r="AB12"/>
      <c r="AK12" s="59"/>
    </row>
    <row r="13" spans="1:56" x14ac:dyDescent="0.25">
      <c r="A13" s="73"/>
      <c r="B13" s="74"/>
      <c r="C13" s="75"/>
      <c r="D13" s="74"/>
      <c r="E13" s="74" t="s">
        <v>63</v>
      </c>
      <c r="F13" s="76"/>
      <c r="G13" s="77">
        <v>0.03</v>
      </c>
      <c r="H13" s="76"/>
      <c r="I13" s="76"/>
      <c r="J13" s="76"/>
      <c r="K13" s="74"/>
      <c r="L13" s="76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8"/>
      <c r="AB13"/>
      <c r="AK13" s="59"/>
    </row>
    <row r="14" spans="1:56" x14ac:dyDescent="0.25">
      <c r="A14" s="73"/>
      <c r="B14" s="74"/>
      <c r="C14" s="75"/>
      <c r="D14" s="74"/>
      <c r="E14" s="74" t="s">
        <v>64</v>
      </c>
      <c r="F14" s="76"/>
      <c r="G14" s="77">
        <v>6.4999999999999997E-3</v>
      </c>
      <c r="H14" s="76"/>
      <c r="I14" s="76"/>
      <c r="J14" s="76"/>
      <c r="K14" s="74"/>
      <c r="L14" s="76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8"/>
      <c r="AB14"/>
      <c r="AK14" s="59"/>
    </row>
    <row r="15" spans="1:56" x14ac:dyDescent="0.25">
      <c r="A15" s="73"/>
      <c r="B15" s="74"/>
      <c r="C15" s="75"/>
      <c r="D15" s="74"/>
      <c r="E15" s="74" t="s">
        <v>65</v>
      </c>
      <c r="F15" s="76"/>
      <c r="G15" s="77">
        <v>0.01</v>
      </c>
      <c r="H15" s="76"/>
      <c r="I15" s="76"/>
      <c r="J15" s="76"/>
      <c r="K15" s="74"/>
      <c r="L15" s="76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8"/>
      <c r="AB15"/>
      <c r="AK15" s="59"/>
    </row>
    <row r="16" spans="1:56" x14ac:dyDescent="0.25">
      <c r="A16" s="73"/>
      <c r="B16" s="74"/>
      <c r="C16" s="75"/>
      <c r="D16" s="74"/>
      <c r="E16" s="74" t="s">
        <v>66</v>
      </c>
      <c r="F16" s="76"/>
      <c r="G16" s="77"/>
      <c r="H16" s="76"/>
      <c r="I16" s="76"/>
      <c r="J16" s="76"/>
      <c r="K16" s="74"/>
      <c r="L16" s="76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8"/>
      <c r="AB16"/>
      <c r="AK16" s="59"/>
    </row>
    <row r="17" spans="1:28" ht="18.75" customHeight="1" x14ac:dyDescent="0.25">
      <c r="A17" s="6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72"/>
      <c r="AB17"/>
    </row>
    <row r="18" spans="1:28" ht="18.75" customHeight="1" x14ac:dyDescent="0.25">
      <c r="A18" s="6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72"/>
      <c r="AB18"/>
    </row>
    <row r="19" spans="1:28" ht="18.75" customHeight="1" x14ac:dyDescent="0.25">
      <c r="A19" s="6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72"/>
      <c r="AB19"/>
    </row>
    <row r="20" spans="1:28" ht="18.75" customHeight="1" x14ac:dyDescent="0.25">
      <c r="A20" s="6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72"/>
      <c r="AB20"/>
    </row>
    <row r="21" spans="1:28" ht="18.75" customHeight="1" x14ac:dyDescent="0.25">
      <c r="A21" s="67"/>
      <c r="B21" s="79" t="s">
        <v>68</v>
      </c>
      <c r="C21" s="279" t="s">
        <v>69</v>
      </c>
      <c r="D21" s="80" t="s">
        <v>70</v>
      </c>
      <c r="E21" s="81">
        <v>1</v>
      </c>
      <c r="F21" s="80" t="s">
        <v>71</v>
      </c>
      <c r="G21" s="81">
        <f>G7</f>
        <v>5.5E-2</v>
      </c>
      <c r="H21" s="80" t="s">
        <v>71</v>
      </c>
      <c r="I21" s="81">
        <f>G8</f>
        <v>0.01</v>
      </c>
      <c r="J21" s="80" t="s">
        <v>71</v>
      </c>
      <c r="K21" s="81">
        <f>G9</f>
        <v>1.2699999999999999E-2</v>
      </c>
      <c r="L21" s="79" t="s">
        <v>72</v>
      </c>
      <c r="M21" s="79" t="s">
        <v>73</v>
      </c>
      <c r="N21" s="81">
        <v>1</v>
      </c>
      <c r="O21" s="79" t="s">
        <v>71</v>
      </c>
      <c r="P21" s="81">
        <f>G10</f>
        <v>9.2999999999999992E-3</v>
      </c>
      <c r="Q21" s="79" t="s">
        <v>72</v>
      </c>
      <c r="R21" s="79" t="s">
        <v>73</v>
      </c>
      <c r="S21" s="81">
        <v>1</v>
      </c>
      <c r="T21" s="79" t="s">
        <v>71</v>
      </c>
      <c r="U21" s="81">
        <f>G11</f>
        <v>7.4999999999999997E-2</v>
      </c>
      <c r="V21" s="79" t="s">
        <v>74</v>
      </c>
      <c r="W21" s="279" t="s">
        <v>75</v>
      </c>
      <c r="X21" s="280">
        <v>-1</v>
      </c>
      <c r="Y21" s="281" t="s">
        <v>76</v>
      </c>
      <c r="Z21" s="282">
        <f>ROUND((((E21+G21+I21+K21)*(N21+P21)*(S21+U21))/(N23-P23))-1,4)</f>
        <v>0.2263</v>
      </c>
      <c r="AA21" s="72"/>
      <c r="AB21"/>
    </row>
    <row r="22" spans="1:28" ht="3.75" customHeight="1" x14ac:dyDescent="0.25">
      <c r="A22" s="67"/>
      <c r="B22" s="8"/>
      <c r="C22" s="279"/>
      <c r="D22" s="283"/>
      <c r="E22" s="283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79"/>
      <c r="X22" s="280"/>
      <c r="Y22" s="281"/>
      <c r="Z22" s="282"/>
      <c r="AA22" s="72"/>
      <c r="AB22"/>
    </row>
    <row r="23" spans="1:28" s="89" customFormat="1" ht="18.75" customHeight="1" x14ac:dyDescent="0.25">
      <c r="A23" s="82"/>
      <c r="B23" s="83"/>
      <c r="C23" s="279"/>
      <c r="D23" s="84"/>
      <c r="E23" s="84"/>
      <c r="F23" s="84"/>
      <c r="G23" s="84"/>
      <c r="H23" s="84"/>
      <c r="I23" s="84"/>
      <c r="J23" s="84"/>
      <c r="K23" s="85"/>
      <c r="L23" s="85"/>
      <c r="M23" s="84" t="s">
        <v>73</v>
      </c>
      <c r="N23" s="86">
        <v>1</v>
      </c>
      <c r="O23" s="85" t="s">
        <v>67</v>
      </c>
      <c r="P23" s="86">
        <f>G12</f>
        <v>4.65E-2</v>
      </c>
      <c r="Q23" s="85" t="s">
        <v>77</v>
      </c>
      <c r="R23" s="85"/>
      <c r="S23" s="85"/>
      <c r="T23" s="85"/>
      <c r="U23" s="85"/>
      <c r="V23" s="85"/>
      <c r="W23" s="279"/>
      <c r="X23" s="280"/>
      <c r="Y23" s="281"/>
      <c r="Z23" s="282"/>
      <c r="AA23" s="87"/>
      <c r="AB23" s="88"/>
    </row>
    <row r="24" spans="1:28" ht="18.75" customHeight="1" x14ac:dyDescent="0.25">
      <c r="A24" s="67"/>
      <c r="B24" s="8"/>
      <c r="C24" s="8"/>
      <c r="D24" s="8"/>
      <c r="E24" s="8"/>
      <c r="F24" s="70"/>
      <c r="G24" s="70"/>
      <c r="H24" s="70"/>
      <c r="I24" s="70"/>
      <c r="J24" s="70"/>
      <c r="K24" s="70"/>
      <c r="L24" s="70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72"/>
      <c r="AB24"/>
    </row>
    <row r="25" spans="1:28" ht="18.75" customHeight="1" thickBot="1" x14ac:dyDescent="0.3">
      <c r="A25" s="90" t="s">
        <v>78</v>
      </c>
      <c r="B25" s="91"/>
      <c r="C25" s="91"/>
      <c r="D25" s="91"/>
      <c r="E25" s="91"/>
      <c r="F25" s="92"/>
      <c r="G25" s="92"/>
      <c r="H25" s="92"/>
      <c r="I25" s="92"/>
      <c r="J25" s="92"/>
      <c r="K25" s="92"/>
      <c r="L25" s="92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3"/>
      <c r="AB25"/>
    </row>
    <row r="26" spans="1:28" ht="26.25" customHeight="1" x14ac:dyDescent="0.25">
      <c r="A26" s="94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6"/>
      <c r="AB26"/>
    </row>
    <row r="27" spans="1:28" ht="26.25" customHeight="1" x14ac:dyDescent="0.25">
      <c r="A27" s="97"/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9"/>
      <c r="AB27"/>
    </row>
    <row r="28" spans="1:28" ht="26.25" customHeight="1" thickBot="1" x14ac:dyDescent="0.3">
      <c r="A28" s="90"/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1"/>
      <c r="AB28"/>
    </row>
  </sheetData>
  <mergeCells count="14">
    <mergeCell ref="S4:X4"/>
    <mergeCell ref="Z4:AA4"/>
    <mergeCell ref="A1:AA1"/>
    <mergeCell ref="S2:X2"/>
    <mergeCell ref="Z2:AA2"/>
    <mergeCell ref="S3:X3"/>
    <mergeCell ref="Z3:AA3"/>
    <mergeCell ref="A5:AA5"/>
    <mergeCell ref="C21:C23"/>
    <mergeCell ref="W21:W23"/>
    <mergeCell ref="X21:X23"/>
    <mergeCell ref="Y21:Y23"/>
    <mergeCell ref="Z21:Z23"/>
    <mergeCell ref="D22:V22"/>
  </mergeCells>
  <dataValidations count="2">
    <dataValidation type="list" allowBlank="1" showInputMessage="1" showErrorMessage="1" sqref="S4:X4 JO4:JT4 TK4:TP4 ADG4:ADL4 ANC4:ANH4 AWY4:AXD4 BGU4:BGZ4 BQQ4:BQV4 CAM4:CAR4 CKI4:CKN4 CUE4:CUJ4 DEA4:DEF4 DNW4:DOB4 DXS4:DXX4 EHO4:EHT4 ERK4:ERP4 FBG4:FBL4 FLC4:FLH4 FUY4:FVD4 GEU4:GEZ4 GOQ4:GOV4 GYM4:GYR4 HII4:HIN4 HSE4:HSJ4 ICA4:ICF4 ILW4:IMB4 IVS4:IVX4 JFO4:JFT4 JPK4:JPP4 JZG4:JZL4 KJC4:KJH4 KSY4:KTD4 LCU4:LCZ4 LMQ4:LMV4 LWM4:LWR4 MGI4:MGN4 MQE4:MQJ4 NAA4:NAF4 NJW4:NKB4 NTS4:NTX4 ODO4:ODT4 ONK4:ONP4 OXG4:OXL4 PHC4:PHH4 PQY4:PRD4 QAU4:QAZ4 QKQ4:QKV4 QUM4:QUR4 REI4:REN4 ROE4:ROJ4 RYA4:RYF4 SHW4:SIB4 SRS4:SRX4 TBO4:TBT4 TLK4:TLP4 TVG4:TVL4 UFC4:UFH4 UOY4:UPD4 UYU4:UYZ4 VIQ4:VIV4 VSM4:VSR4 WCI4:WCN4 WME4:WMJ4 WWA4:WWF4 S65540:X65540 JO65540:JT65540 TK65540:TP65540 ADG65540:ADL65540 ANC65540:ANH65540 AWY65540:AXD65540 BGU65540:BGZ65540 BQQ65540:BQV65540 CAM65540:CAR65540 CKI65540:CKN65540 CUE65540:CUJ65540 DEA65540:DEF65540 DNW65540:DOB65540 DXS65540:DXX65540 EHO65540:EHT65540 ERK65540:ERP65540 FBG65540:FBL65540 FLC65540:FLH65540 FUY65540:FVD65540 GEU65540:GEZ65540 GOQ65540:GOV65540 GYM65540:GYR65540 HII65540:HIN65540 HSE65540:HSJ65540 ICA65540:ICF65540 ILW65540:IMB65540 IVS65540:IVX65540 JFO65540:JFT65540 JPK65540:JPP65540 JZG65540:JZL65540 KJC65540:KJH65540 KSY65540:KTD65540 LCU65540:LCZ65540 LMQ65540:LMV65540 LWM65540:LWR65540 MGI65540:MGN65540 MQE65540:MQJ65540 NAA65540:NAF65540 NJW65540:NKB65540 NTS65540:NTX65540 ODO65540:ODT65540 ONK65540:ONP65540 OXG65540:OXL65540 PHC65540:PHH65540 PQY65540:PRD65540 QAU65540:QAZ65540 QKQ65540:QKV65540 QUM65540:QUR65540 REI65540:REN65540 ROE65540:ROJ65540 RYA65540:RYF65540 SHW65540:SIB65540 SRS65540:SRX65540 TBO65540:TBT65540 TLK65540:TLP65540 TVG65540:TVL65540 UFC65540:UFH65540 UOY65540:UPD65540 UYU65540:UYZ65540 VIQ65540:VIV65540 VSM65540:VSR65540 WCI65540:WCN65540 WME65540:WMJ65540 WWA65540:WWF65540 S131076:X131076 JO131076:JT131076 TK131076:TP131076 ADG131076:ADL131076 ANC131076:ANH131076 AWY131076:AXD131076 BGU131076:BGZ131076 BQQ131076:BQV131076 CAM131076:CAR131076 CKI131076:CKN131076 CUE131076:CUJ131076 DEA131076:DEF131076 DNW131076:DOB131076 DXS131076:DXX131076 EHO131076:EHT131076 ERK131076:ERP131076 FBG131076:FBL131076 FLC131076:FLH131076 FUY131076:FVD131076 GEU131076:GEZ131076 GOQ131076:GOV131076 GYM131076:GYR131076 HII131076:HIN131076 HSE131076:HSJ131076 ICA131076:ICF131076 ILW131076:IMB131076 IVS131076:IVX131076 JFO131076:JFT131076 JPK131076:JPP131076 JZG131076:JZL131076 KJC131076:KJH131076 KSY131076:KTD131076 LCU131076:LCZ131076 LMQ131076:LMV131076 LWM131076:LWR131076 MGI131076:MGN131076 MQE131076:MQJ131076 NAA131076:NAF131076 NJW131076:NKB131076 NTS131076:NTX131076 ODO131076:ODT131076 ONK131076:ONP131076 OXG131076:OXL131076 PHC131076:PHH131076 PQY131076:PRD131076 QAU131076:QAZ131076 QKQ131076:QKV131076 QUM131076:QUR131076 REI131076:REN131076 ROE131076:ROJ131076 RYA131076:RYF131076 SHW131076:SIB131076 SRS131076:SRX131076 TBO131076:TBT131076 TLK131076:TLP131076 TVG131076:TVL131076 UFC131076:UFH131076 UOY131076:UPD131076 UYU131076:UYZ131076 VIQ131076:VIV131076 VSM131076:VSR131076 WCI131076:WCN131076 WME131076:WMJ131076 WWA131076:WWF131076 S196612:X196612 JO196612:JT196612 TK196612:TP196612 ADG196612:ADL196612 ANC196612:ANH196612 AWY196612:AXD196612 BGU196612:BGZ196612 BQQ196612:BQV196612 CAM196612:CAR196612 CKI196612:CKN196612 CUE196612:CUJ196612 DEA196612:DEF196612 DNW196612:DOB196612 DXS196612:DXX196612 EHO196612:EHT196612 ERK196612:ERP196612 FBG196612:FBL196612 FLC196612:FLH196612 FUY196612:FVD196612 GEU196612:GEZ196612 GOQ196612:GOV196612 GYM196612:GYR196612 HII196612:HIN196612 HSE196612:HSJ196612 ICA196612:ICF196612 ILW196612:IMB196612 IVS196612:IVX196612 JFO196612:JFT196612 JPK196612:JPP196612 JZG196612:JZL196612 KJC196612:KJH196612 KSY196612:KTD196612 LCU196612:LCZ196612 LMQ196612:LMV196612 LWM196612:LWR196612 MGI196612:MGN196612 MQE196612:MQJ196612 NAA196612:NAF196612 NJW196612:NKB196612 NTS196612:NTX196612 ODO196612:ODT196612 ONK196612:ONP196612 OXG196612:OXL196612 PHC196612:PHH196612 PQY196612:PRD196612 QAU196612:QAZ196612 QKQ196612:QKV196612 QUM196612:QUR196612 REI196612:REN196612 ROE196612:ROJ196612 RYA196612:RYF196612 SHW196612:SIB196612 SRS196612:SRX196612 TBO196612:TBT196612 TLK196612:TLP196612 TVG196612:TVL196612 UFC196612:UFH196612 UOY196612:UPD196612 UYU196612:UYZ196612 VIQ196612:VIV196612 VSM196612:VSR196612 WCI196612:WCN196612 WME196612:WMJ196612 WWA196612:WWF196612 S262148:X262148 JO262148:JT262148 TK262148:TP262148 ADG262148:ADL262148 ANC262148:ANH262148 AWY262148:AXD262148 BGU262148:BGZ262148 BQQ262148:BQV262148 CAM262148:CAR262148 CKI262148:CKN262148 CUE262148:CUJ262148 DEA262148:DEF262148 DNW262148:DOB262148 DXS262148:DXX262148 EHO262148:EHT262148 ERK262148:ERP262148 FBG262148:FBL262148 FLC262148:FLH262148 FUY262148:FVD262148 GEU262148:GEZ262148 GOQ262148:GOV262148 GYM262148:GYR262148 HII262148:HIN262148 HSE262148:HSJ262148 ICA262148:ICF262148 ILW262148:IMB262148 IVS262148:IVX262148 JFO262148:JFT262148 JPK262148:JPP262148 JZG262148:JZL262148 KJC262148:KJH262148 KSY262148:KTD262148 LCU262148:LCZ262148 LMQ262148:LMV262148 LWM262148:LWR262148 MGI262148:MGN262148 MQE262148:MQJ262148 NAA262148:NAF262148 NJW262148:NKB262148 NTS262148:NTX262148 ODO262148:ODT262148 ONK262148:ONP262148 OXG262148:OXL262148 PHC262148:PHH262148 PQY262148:PRD262148 QAU262148:QAZ262148 QKQ262148:QKV262148 QUM262148:QUR262148 REI262148:REN262148 ROE262148:ROJ262148 RYA262148:RYF262148 SHW262148:SIB262148 SRS262148:SRX262148 TBO262148:TBT262148 TLK262148:TLP262148 TVG262148:TVL262148 UFC262148:UFH262148 UOY262148:UPD262148 UYU262148:UYZ262148 VIQ262148:VIV262148 VSM262148:VSR262148 WCI262148:WCN262148 WME262148:WMJ262148 WWA262148:WWF262148 S327684:X327684 JO327684:JT327684 TK327684:TP327684 ADG327684:ADL327684 ANC327684:ANH327684 AWY327684:AXD327684 BGU327684:BGZ327684 BQQ327684:BQV327684 CAM327684:CAR327684 CKI327684:CKN327684 CUE327684:CUJ327684 DEA327684:DEF327684 DNW327684:DOB327684 DXS327684:DXX327684 EHO327684:EHT327684 ERK327684:ERP327684 FBG327684:FBL327684 FLC327684:FLH327684 FUY327684:FVD327684 GEU327684:GEZ327684 GOQ327684:GOV327684 GYM327684:GYR327684 HII327684:HIN327684 HSE327684:HSJ327684 ICA327684:ICF327684 ILW327684:IMB327684 IVS327684:IVX327684 JFO327684:JFT327684 JPK327684:JPP327684 JZG327684:JZL327684 KJC327684:KJH327684 KSY327684:KTD327684 LCU327684:LCZ327684 LMQ327684:LMV327684 LWM327684:LWR327684 MGI327684:MGN327684 MQE327684:MQJ327684 NAA327684:NAF327684 NJW327684:NKB327684 NTS327684:NTX327684 ODO327684:ODT327684 ONK327684:ONP327684 OXG327684:OXL327684 PHC327684:PHH327684 PQY327684:PRD327684 QAU327684:QAZ327684 QKQ327684:QKV327684 QUM327684:QUR327684 REI327684:REN327684 ROE327684:ROJ327684 RYA327684:RYF327684 SHW327684:SIB327684 SRS327684:SRX327684 TBO327684:TBT327684 TLK327684:TLP327684 TVG327684:TVL327684 UFC327684:UFH327684 UOY327684:UPD327684 UYU327684:UYZ327684 VIQ327684:VIV327684 VSM327684:VSR327684 WCI327684:WCN327684 WME327684:WMJ327684 WWA327684:WWF327684 S393220:X393220 JO393220:JT393220 TK393220:TP393220 ADG393220:ADL393220 ANC393220:ANH393220 AWY393220:AXD393220 BGU393220:BGZ393220 BQQ393220:BQV393220 CAM393220:CAR393220 CKI393220:CKN393220 CUE393220:CUJ393220 DEA393220:DEF393220 DNW393220:DOB393220 DXS393220:DXX393220 EHO393220:EHT393220 ERK393220:ERP393220 FBG393220:FBL393220 FLC393220:FLH393220 FUY393220:FVD393220 GEU393220:GEZ393220 GOQ393220:GOV393220 GYM393220:GYR393220 HII393220:HIN393220 HSE393220:HSJ393220 ICA393220:ICF393220 ILW393220:IMB393220 IVS393220:IVX393220 JFO393220:JFT393220 JPK393220:JPP393220 JZG393220:JZL393220 KJC393220:KJH393220 KSY393220:KTD393220 LCU393220:LCZ393220 LMQ393220:LMV393220 LWM393220:LWR393220 MGI393220:MGN393220 MQE393220:MQJ393220 NAA393220:NAF393220 NJW393220:NKB393220 NTS393220:NTX393220 ODO393220:ODT393220 ONK393220:ONP393220 OXG393220:OXL393220 PHC393220:PHH393220 PQY393220:PRD393220 QAU393220:QAZ393220 QKQ393220:QKV393220 QUM393220:QUR393220 REI393220:REN393220 ROE393220:ROJ393220 RYA393220:RYF393220 SHW393220:SIB393220 SRS393220:SRX393220 TBO393220:TBT393220 TLK393220:TLP393220 TVG393220:TVL393220 UFC393220:UFH393220 UOY393220:UPD393220 UYU393220:UYZ393220 VIQ393220:VIV393220 VSM393220:VSR393220 WCI393220:WCN393220 WME393220:WMJ393220 WWA393220:WWF393220 S458756:X458756 JO458756:JT458756 TK458756:TP458756 ADG458756:ADL458756 ANC458756:ANH458756 AWY458756:AXD458756 BGU458756:BGZ458756 BQQ458756:BQV458756 CAM458756:CAR458756 CKI458756:CKN458756 CUE458756:CUJ458756 DEA458756:DEF458756 DNW458756:DOB458756 DXS458756:DXX458756 EHO458756:EHT458756 ERK458756:ERP458756 FBG458756:FBL458756 FLC458756:FLH458756 FUY458756:FVD458756 GEU458756:GEZ458756 GOQ458756:GOV458756 GYM458756:GYR458756 HII458756:HIN458756 HSE458756:HSJ458756 ICA458756:ICF458756 ILW458756:IMB458756 IVS458756:IVX458756 JFO458756:JFT458756 JPK458756:JPP458756 JZG458756:JZL458756 KJC458756:KJH458756 KSY458756:KTD458756 LCU458756:LCZ458756 LMQ458756:LMV458756 LWM458756:LWR458756 MGI458756:MGN458756 MQE458756:MQJ458756 NAA458756:NAF458756 NJW458756:NKB458756 NTS458756:NTX458756 ODO458756:ODT458756 ONK458756:ONP458756 OXG458756:OXL458756 PHC458756:PHH458756 PQY458756:PRD458756 QAU458756:QAZ458756 QKQ458756:QKV458756 QUM458756:QUR458756 REI458756:REN458756 ROE458756:ROJ458756 RYA458756:RYF458756 SHW458756:SIB458756 SRS458756:SRX458756 TBO458756:TBT458756 TLK458756:TLP458756 TVG458756:TVL458756 UFC458756:UFH458756 UOY458756:UPD458756 UYU458756:UYZ458756 VIQ458756:VIV458756 VSM458756:VSR458756 WCI458756:WCN458756 WME458756:WMJ458756 WWA458756:WWF458756 S524292:X524292 JO524292:JT524292 TK524292:TP524292 ADG524292:ADL524292 ANC524292:ANH524292 AWY524292:AXD524292 BGU524292:BGZ524292 BQQ524292:BQV524292 CAM524292:CAR524292 CKI524292:CKN524292 CUE524292:CUJ524292 DEA524292:DEF524292 DNW524292:DOB524292 DXS524292:DXX524292 EHO524292:EHT524292 ERK524292:ERP524292 FBG524292:FBL524292 FLC524292:FLH524292 FUY524292:FVD524292 GEU524292:GEZ524292 GOQ524292:GOV524292 GYM524292:GYR524292 HII524292:HIN524292 HSE524292:HSJ524292 ICA524292:ICF524292 ILW524292:IMB524292 IVS524292:IVX524292 JFO524292:JFT524292 JPK524292:JPP524292 JZG524292:JZL524292 KJC524292:KJH524292 KSY524292:KTD524292 LCU524292:LCZ524292 LMQ524292:LMV524292 LWM524292:LWR524292 MGI524292:MGN524292 MQE524292:MQJ524292 NAA524292:NAF524292 NJW524292:NKB524292 NTS524292:NTX524292 ODO524292:ODT524292 ONK524292:ONP524292 OXG524292:OXL524292 PHC524292:PHH524292 PQY524292:PRD524292 QAU524292:QAZ524292 QKQ524292:QKV524292 QUM524292:QUR524292 REI524292:REN524292 ROE524292:ROJ524292 RYA524292:RYF524292 SHW524292:SIB524292 SRS524292:SRX524292 TBO524292:TBT524292 TLK524292:TLP524292 TVG524292:TVL524292 UFC524292:UFH524292 UOY524292:UPD524292 UYU524292:UYZ524292 VIQ524292:VIV524292 VSM524292:VSR524292 WCI524292:WCN524292 WME524292:WMJ524292 WWA524292:WWF524292 S589828:X589828 JO589828:JT589828 TK589828:TP589828 ADG589828:ADL589828 ANC589828:ANH589828 AWY589828:AXD589828 BGU589828:BGZ589828 BQQ589828:BQV589828 CAM589828:CAR589828 CKI589828:CKN589828 CUE589828:CUJ589828 DEA589828:DEF589828 DNW589828:DOB589828 DXS589828:DXX589828 EHO589828:EHT589828 ERK589828:ERP589828 FBG589828:FBL589828 FLC589828:FLH589828 FUY589828:FVD589828 GEU589828:GEZ589828 GOQ589828:GOV589828 GYM589828:GYR589828 HII589828:HIN589828 HSE589828:HSJ589828 ICA589828:ICF589828 ILW589828:IMB589828 IVS589828:IVX589828 JFO589828:JFT589828 JPK589828:JPP589828 JZG589828:JZL589828 KJC589828:KJH589828 KSY589828:KTD589828 LCU589828:LCZ589828 LMQ589828:LMV589828 LWM589828:LWR589828 MGI589828:MGN589828 MQE589828:MQJ589828 NAA589828:NAF589828 NJW589828:NKB589828 NTS589828:NTX589828 ODO589828:ODT589828 ONK589828:ONP589828 OXG589828:OXL589828 PHC589828:PHH589828 PQY589828:PRD589828 QAU589828:QAZ589828 QKQ589828:QKV589828 QUM589828:QUR589828 REI589828:REN589828 ROE589828:ROJ589828 RYA589828:RYF589828 SHW589828:SIB589828 SRS589828:SRX589828 TBO589828:TBT589828 TLK589828:TLP589828 TVG589828:TVL589828 UFC589828:UFH589828 UOY589828:UPD589828 UYU589828:UYZ589828 VIQ589828:VIV589828 VSM589828:VSR589828 WCI589828:WCN589828 WME589828:WMJ589828 WWA589828:WWF589828 S655364:X655364 JO655364:JT655364 TK655364:TP655364 ADG655364:ADL655364 ANC655364:ANH655364 AWY655364:AXD655364 BGU655364:BGZ655364 BQQ655364:BQV655364 CAM655364:CAR655364 CKI655364:CKN655364 CUE655364:CUJ655364 DEA655364:DEF655364 DNW655364:DOB655364 DXS655364:DXX655364 EHO655364:EHT655364 ERK655364:ERP655364 FBG655364:FBL655364 FLC655364:FLH655364 FUY655364:FVD655364 GEU655364:GEZ655364 GOQ655364:GOV655364 GYM655364:GYR655364 HII655364:HIN655364 HSE655364:HSJ655364 ICA655364:ICF655364 ILW655364:IMB655364 IVS655364:IVX655364 JFO655364:JFT655364 JPK655364:JPP655364 JZG655364:JZL655364 KJC655364:KJH655364 KSY655364:KTD655364 LCU655364:LCZ655364 LMQ655364:LMV655364 LWM655364:LWR655364 MGI655364:MGN655364 MQE655364:MQJ655364 NAA655364:NAF655364 NJW655364:NKB655364 NTS655364:NTX655364 ODO655364:ODT655364 ONK655364:ONP655364 OXG655364:OXL655364 PHC655364:PHH655364 PQY655364:PRD655364 QAU655364:QAZ655364 QKQ655364:QKV655364 QUM655364:QUR655364 REI655364:REN655364 ROE655364:ROJ655364 RYA655364:RYF655364 SHW655364:SIB655364 SRS655364:SRX655364 TBO655364:TBT655364 TLK655364:TLP655364 TVG655364:TVL655364 UFC655364:UFH655364 UOY655364:UPD655364 UYU655364:UYZ655364 VIQ655364:VIV655364 VSM655364:VSR655364 WCI655364:WCN655364 WME655364:WMJ655364 WWA655364:WWF655364 S720900:X720900 JO720900:JT720900 TK720900:TP720900 ADG720900:ADL720900 ANC720900:ANH720900 AWY720900:AXD720900 BGU720900:BGZ720900 BQQ720900:BQV720900 CAM720900:CAR720900 CKI720900:CKN720900 CUE720900:CUJ720900 DEA720900:DEF720900 DNW720900:DOB720900 DXS720900:DXX720900 EHO720900:EHT720900 ERK720900:ERP720900 FBG720900:FBL720900 FLC720900:FLH720900 FUY720900:FVD720900 GEU720900:GEZ720900 GOQ720900:GOV720900 GYM720900:GYR720900 HII720900:HIN720900 HSE720900:HSJ720900 ICA720900:ICF720900 ILW720900:IMB720900 IVS720900:IVX720900 JFO720900:JFT720900 JPK720900:JPP720900 JZG720900:JZL720900 KJC720900:KJH720900 KSY720900:KTD720900 LCU720900:LCZ720900 LMQ720900:LMV720900 LWM720900:LWR720900 MGI720900:MGN720900 MQE720900:MQJ720900 NAA720900:NAF720900 NJW720900:NKB720900 NTS720900:NTX720900 ODO720900:ODT720900 ONK720900:ONP720900 OXG720900:OXL720900 PHC720900:PHH720900 PQY720900:PRD720900 QAU720900:QAZ720900 QKQ720900:QKV720900 QUM720900:QUR720900 REI720900:REN720900 ROE720900:ROJ720900 RYA720900:RYF720900 SHW720900:SIB720900 SRS720900:SRX720900 TBO720900:TBT720900 TLK720900:TLP720900 TVG720900:TVL720900 UFC720900:UFH720900 UOY720900:UPD720900 UYU720900:UYZ720900 VIQ720900:VIV720900 VSM720900:VSR720900 WCI720900:WCN720900 WME720900:WMJ720900 WWA720900:WWF720900 S786436:X786436 JO786436:JT786436 TK786436:TP786436 ADG786436:ADL786436 ANC786436:ANH786436 AWY786436:AXD786436 BGU786436:BGZ786436 BQQ786436:BQV786436 CAM786436:CAR786436 CKI786436:CKN786436 CUE786436:CUJ786436 DEA786436:DEF786436 DNW786436:DOB786436 DXS786436:DXX786436 EHO786436:EHT786436 ERK786436:ERP786436 FBG786436:FBL786436 FLC786436:FLH786436 FUY786436:FVD786436 GEU786436:GEZ786436 GOQ786436:GOV786436 GYM786436:GYR786436 HII786436:HIN786436 HSE786436:HSJ786436 ICA786436:ICF786436 ILW786436:IMB786436 IVS786436:IVX786436 JFO786436:JFT786436 JPK786436:JPP786436 JZG786436:JZL786436 KJC786436:KJH786436 KSY786436:KTD786436 LCU786436:LCZ786436 LMQ786436:LMV786436 LWM786436:LWR786436 MGI786436:MGN786436 MQE786436:MQJ786436 NAA786436:NAF786436 NJW786436:NKB786436 NTS786436:NTX786436 ODO786436:ODT786436 ONK786436:ONP786436 OXG786436:OXL786436 PHC786436:PHH786436 PQY786436:PRD786436 QAU786436:QAZ786436 QKQ786436:QKV786436 QUM786436:QUR786436 REI786436:REN786436 ROE786436:ROJ786436 RYA786436:RYF786436 SHW786436:SIB786436 SRS786436:SRX786436 TBO786436:TBT786436 TLK786436:TLP786436 TVG786436:TVL786436 UFC786436:UFH786436 UOY786436:UPD786436 UYU786436:UYZ786436 VIQ786436:VIV786436 VSM786436:VSR786436 WCI786436:WCN786436 WME786436:WMJ786436 WWA786436:WWF786436 S851972:X851972 JO851972:JT851972 TK851972:TP851972 ADG851972:ADL851972 ANC851972:ANH851972 AWY851972:AXD851972 BGU851972:BGZ851972 BQQ851972:BQV851972 CAM851972:CAR851972 CKI851972:CKN851972 CUE851972:CUJ851972 DEA851972:DEF851972 DNW851972:DOB851972 DXS851972:DXX851972 EHO851972:EHT851972 ERK851972:ERP851972 FBG851972:FBL851972 FLC851972:FLH851972 FUY851972:FVD851972 GEU851972:GEZ851972 GOQ851972:GOV851972 GYM851972:GYR851972 HII851972:HIN851972 HSE851972:HSJ851972 ICA851972:ICF851972 ILW851972:IMB851972 IVS851972:IVX851972 JFO851972:JFT851972 JPK851972:JPP851972 JZG851972:JZL851972 KJC851972:KJH851972 KSY851972:KTD851972 LCU851972:LCZ851972 LMQ851972:LMV851972 LWM851972:LWR851972 MGI851972:MGN851972 MQE851972:MQJ851972 NAA851972:NAF851972 NJW851972:NKB851972 NTS851972:NTX851972 ODO851972:ODT851972 ONK851972:ONP851972 OXG851972:OXL851972 PHC851972:PHH851972 PQY851972:PRD851972 QAU851972:QAZ851972 QKQ851972:QKV851972 QUM851972:QUR851972 REI851972:REN851972 ROE851972:ROJ851972 RYA851972:RYF851972 SHW851972:SIB851972 SRS851972:SRX851972 TBO851972:TBT851972 TLK851972:TLP851972 TVG851972:TVL851972 UFC851972:UFH851972 UOY851972:UPD851972 UYU851972:UYZ851972 VIQ851972:VIV851972 VSM851972:VSR851972 WCI851972:WCN851972 WME851972:WMJ851972 WWA851972:WWF851972 S917508:X917508 JO917508:JT917508 TK917508:TP917508 ADG917508:ADL917508 ANC917508:ANH917508 AWY917508:AXD917508 BGU917508:BGZ917508 BQQ917508:BQV917508 CAM917508:CAR917508 CKI917508:CKN917508 CUE917508:CUJ917508 DEA917508:DEF917508 DNW917508:DOB917508 DXS917508:DXX917508 EHO917508:EHT917508 ERK917508:ERP917508 FBG917508:FBL917508 FLC917508:FLH917508 FUY917508:FVD917508 GEU917508:GEZ917508 GOQ917508:GOV917508 GYM917508:GYR917508 HII917508:HIN917508 HSE917508:HSJ917508 ICA917508:ICF917508 ILW917508:IMB917508 IVS917508:IVX917508 JFO917508:JFT917508 JPK917508:JPP917508 JZG917508:JZL917508 KJC917508:KJH917508 KSY917508:KTD917508 LCU917508:LCZ917508 LMQ917508:LMV917508 LWM917508:LWR917508 MGI917508:MGN917508 MQE917508:MQJ917508 NAA917508:NAF917508 NJW917508:NKB917508 NTS917508:NTX917508 ODO917508:ODT917508 ONK917508:ONP917508 OXG917508:OXL917508 PHC917508:PHH917508 PQY917508:PRD917508 QAU917508:QAZ917508 QKQ917508:QKV917508 QUM917508:QUR917508 REI917508:REN917508 ROE917508:ROJ917508 RYA917508:RYF917508 SHW917508:SIB917508 SRS917508:SRX917508 TBO917508:TBT917508 TLK917508:TLP917508 TVG917508:TVL917508 UFC917508:UFH917508 UOY917508:UPD917508 UYU917508:UYZ917508 VIQ917508:VIV917508 VSM917508:VSR917508 WCI917508:WCN917508 WME917508:WMJ917508 WWA917508:WWF917508 S983044:X983044 JO983044:JT983044 TK983044:TP983044 ADG983044:ADL983044 ANC983044:ANH983044 AWY983044:AXD983044 BGU983044:BGZ983044 BQQ983044:BQV983044 CAM983044:CAR983044 CKI983044:CKN983044 CUE983044:CUJ983044 DEA983044:DEF983044 DNW983044:DOB983044 DXS983044:DXX983044 EHO983044:EHT983044 ERK983044:ERP983044 FBG983044:FBL983044 FLC983044:FLH983044 FUY983044:FVD983044 GEU983044:GEZ983044 GOQ983044:GOV983044 GYM983044:GYR983044 HII983044:HIN983044 HSE983044:HSJ983044 ICA983044:ICF983044 ILW983044:IMB983044 IVS983044:IVX983044 JFO983044:JFT983044 JPK983044:JPP983044 JZG983044:JZL983044 KJC983044:KJH983044 KSY983044:KTD983044 LCU983044:LCZ983044 LMQ983044:LMV983044 LWM983044:LWR983044 MGI983044:MGN983044 MQE983044:MQJ983044 NAA983044:NAF983044 NJW983044:NKB983044 NTS983044:NTX983044 ODO983044:ODT983044 ONK983044:ONP983044 OXG983044:OXL983044 PHC983044:PHH983044 PQY983044:PRD983044 QAU983044:QAZ983044 QKQ983044:QKV983044 QUM983044:QUR983044 REI983044:REN983044 ROE983044:ROJ983044 RYA983044:RYF983044 SHW983044:SIB983044 SRS983044:SRX983044 TBO983044:TBT983044 TLK983044:TLP983044 TVG983044:TVL983044 UFC983044:UFH983044 UOY983044:UPD983044 UYU983044:UYZ983044 VIQ983044:VIV983044 VSM983044:VSR983044 WCI983044:WCN983044 WME983044:WMJ983044 WWA983044:WWF983044" xr:uid="{68341578-9915-4939-B6BA-C0B2C9FD54D3}">
      <formula1>"PRIMEIRO QUARTIL, QUARTIL MÉDIO, TERCEIRO QUARTIL"</formula1>
    </dataValidation>
    <dataValidation type="list" allowBlank="1" showInputMessage="1" showErrorMessage="1" sqref="A5:AA5 IW5:JW5 SS5:TS5 ACO5:ADO5 AMK5:ANK5 AWG5:AXG5 BGC5:BHC5 BPY5:BQY5 BZU5:CAU5 CJQ5:CKQ5 CTM5:CUM5 DDI5:DEI5 DNE5:DOE5 DXA5:DYA5 EGW5:EHW5 EQS5:ERS5 FAO5:FBO5 FKK5:FLK5 FUG5:FVG5 GEC5:GFC5 GNY5:GOY5 GXU5:GYU5 HHQ5:HIQ5 HRM5:HSM5 IBI5:ICI5 ILE5:IME5 IVA5:IWA5 JEW5:JFW5 JOS5:JPS5 JYO5:JZO5 KIK5:KJK5 KSG5:KTG5 LCC5:LDC5 LLY5:LMY5 LVU5:LWU5 MFQ5:MGQ5 MPM5:MQM5 MZI5:NAI5 NJE5:NKE5 NTA5:NUA5 OCW5:ODW5 OMS5:ONS5 OWO5:OXO5 PGK5:PHK5 PQG5:PRG5 QAC5:QBC5 QJY5:QKY5 QTU5:QUU5 RDQ5:REQ5 RNM5:ROM5 RXI5:RYI5 SHE5:SIE5 SRA5:SSA5 TAW5:TBW5 TKS5:TLS5 TUO5:TVO5 UEK5:UFK5 UOG5:UPG5 UYC5:UZC5 VHY5:VIY5 VRU5:VSU5 WBQ5:WCQ5 WLM5:WMM5 WVI5:WWI5 A65541:AA65541 IW65541:JW65541 SS65541:TS65541 ACO65541:ADO65541 AMK65541:ANK65541 AWG65541:AXG65541 BGC65541:BHC65541 BPY65541:BQY65541 BZU65541:CAU65541 CJQ65541:CKQ65541 CTM65541:CUM65541 DDI65541:DEI65541 DNE65541:DOE65541 DXA65541:DYA65541 EGW65541:EHW65541 EQS65541:ERS65541 FAO65541:FBO65541 FKK65541:FLK65541 FUG65541:FVG65541 GEC65541:GFC65541 GNY65541:GOY65541 GXU65541:GYU65541 HHQ65541:HIQ65541 HRM65541:HSM65541 IBI65541:ICI65541 ILE65541:IME65541 IVA65541:IWA65541 JEW65541:JFW65541 JOS65541:JPS65541 JYO65541:JZO65541 KIK65541:KJK65541 KSG65541:KTG65541 LCC65541:LDC65541 LLY65541:LMY65541 LVU65541:LWU65541 MFQ65541:MGQ65541 MPM65541:MQM65541 MZI65541:NAI65541 NJE65541:NKE65541 NTA65541:NUA65541 OCW65541:ODW65541 OMS65541:ONS65541 OWO65541:OXO65541 PGK65541:PHK65541 PQG65541:PRG65541 QAC65541:QBC65541 QJY65541:QKY65541 QTU65541:QUU65541 RDQ65541:REQ65541 RNM65541:ROM65541 RXI65541:RYI65541 SHE65541:SIE65541 SRA65541:SSA65541 TAW65541:TBW65541 TKS65541:TLS65541 TUO65541:TVO65541 UEK65541:UFK65541 UOG65541:UPG65541 UYC65541:UZC65541 VHY65541:VIY65541 VRU65541:VSU65541 WBQ65541:WCQ65541 WLM65541:WMM65541 WVI65541:WWI65541 A131077:AA131077 IW131077:JW131077 SS131077:TS131077 ACO131077:ADO131077 AMK131077:ANK131077 AWG131077:AXG131077 BGC131077:BHC131077 BPY131077:BQY131077 BZU131077:CAU131077 CJQ131077:CKQ131077 CTM131077:CUM131077 DDI131077:DEI131077 DNE131077:DOE131077 DXA131077:DYA131077 EGW131077:EHW131077 EQS131077:ERS131077 FAO131077:FBO131077 FKK131077:FLK131077 FUG131077:FVG131077 GEC131077:GFC131077 GNY131077:GOY131077 GXU131077:GYU131077 HHQ131077:HIQ131077 HRM131077:HSM131077 IBI131077:ICI131077 ILE131077:IME131077 IVA131077:IWA131077 JEW131077:JFW131077 JOS131077:JPS131077 JYO131077:JZO131077 KIK131077:KJK131077 KSG131077:KTG131077 LCC131077:LDC131077 LLY131077:LMY131077 LVU131077:LWU131077 MFQ131077:MGQ131077 MPM131077:MQM131077 MZI131077:NAI131077 NJE131077:NKE131077 NTA131077:NUA131077 OCW131077:ODW131077 OMS131077:ONS131077 OWO131077:OXO131077 PGK131077:PHK131077 PQG131077:PRG131077 QAC131077:QBC131077 QJY131077:QKY131077 QTU131077:QUU131077 RDQ131077:REQ131077 RNM131077:ROM131077 RXI131077:RYI131077 SHE131077:SIE131077 SRA131077:SSA131077 TAW131077:TBW131077 TKS131077:TLS131077 TUO131077:TVO131077 UEK131077:UFK131077 UOG131077:UPG131077 UYC131077:UZC131077 VHY131077:VIY131077 VRU131077:VSU131077 WBQ131077:WCQ131077 WLM131077:WMM131077 WVI131077:WWI131077 A196613:AA196613 IW196613:JW196613 SS196613:TS196613 ACO196613:ADO196613 AMK196613:ANK196613 AWG196613:AXG196613 BGC196613:BHC196613 BPY196613:BQY196613 BZU196613:CAU196613 CJQ196613:CKQ196613 CTM196613:CUM196613 DDI196613:DEI196613 DNE196613:DOE196613 DXA196613:DYA196613 EGW196613:EHW196613 EQS196613:ERS196613 FAO196613:FBO196613 FKK196613:FLK196613 FUG196613:FVG196613 GEC196613:GFC196613 GNY196613:GOY196613 GXU196613:GYU196613 HHQ196613:HIQ196613 HRM196613:HSM196613 IBI196613:ICI196613 ILE196613:IME196613 IVA196613:IWA196613 JEW196613:JFW196613 JOS196613:JPS196613 JYO196613:JZO196613 KIK196613:KJK196613 KSG196613:KTG196613 LCC196613:LDC196613 LLY196613:LMY196613 LVU196613:LWU196613 MFQ196613:MGQ196613 MPM196613:MQM196613 MZI196613:NAI196613 NJE196613:NKE196613 NTA196613:NUA196613 OCW196613:ODW196613 OMS196613:ONS196613 OWO196613:OXO196613 PGK196613:PHK196613 PQG196613:PRG196613 QAC196613:QBC196613 QJY196613:QKY196613 QTU196613:QUU196613 RDQ196613:REQ196613 RNM196613:ROM196613 RXI196613:RYI196613 SHE196613:SIE196613 SRA196613:SSA196613 TAW196613:TBW196613 TKS196613:TLS196613 TUO196613:TVO196613 UEK196613:UFK196613 UOG196613:UPG196613 UYC196613:UZC196613 VHY196613:VIY196613 VRU196613:VSU196613 WBQ196613:WCQ196613 WLM196613:WMM196613 WVI196613:WWI196613 A262149:AA262149 IW262149:JW262149 SS262149:TS262149 ACO262149:ADO262149 AMK262149:ANK262149 AWG262149:AXG262149 BGC262149:BHC262149 BPY262149:BQY262149 BZU262149:CAU262149 CJQ262149:CKQ262149 CTM262149:CUM262149 DDI262149:DEI262149 DNE262149:DOE262149 DXA262149:DYA262149 EGW262149:EHW262149 EQS262149:ERS262149 FAO262149:FBO262149 FKK262149:FLK262149 FUG262149:FVG262149 GEC262149:GFC262149 GNY262149:GOY262149 GXU262149:GYU262149 HHQ262149:HIQ262149 HRM262149:HSM262149 IBI262149:ICI262149 ILE262149:IME262149 IVA262149:IWA262149 JEW262149:JFW262149 JOS262149:JPS262149 JYO262149:JZO262149 KIK262149:KJK262149 KSG262149:KTG262149 LCC262149:LDC262149 LLY262149:LMY262149 LVU262149:LWU262149 MFQ262149:MGQ262149 MPM262149:MQM262149 MZI262149:NAI262149 NJE262149:NKE262149 NTA262149:NUA262149 OCW262149:ODW262149 OMS262149:ONS262149 OWO262149:OXO262149 PGK262149:PHK262149 PQG262149:PRG262149 QAC262149:QBC262149 QJY262149:QKY262149 QTU262149:QUU262149 RDQ262149:REQ262149 RNM262149:ROM262149 RXI262149:RYI262149 SHE262149:SIE262149 SRA262149:SSA262149 TAW262149:TBW262149 TKS262149:TLS262149 TUO262149:TVO262149 UEK262149:UFK262149 UOG262149:UPG262149 UYC262149:UZC262149 VHY262149:VIY262149 VRU262149:VSU262149 WBQ262149:WCQ262149 WLM262149:WMM262149 WVI262149:WWI262149 A327685:AA327685 IW327685:JW327685 SS327685:TS327685 ACO327685:ADO327685 AMK327685:ANK327685 AWG327685:AXG327685 BGC327685:BHC327685 BPY327685:BQY327685 BZU327685:CAU327685 CJQ327685:CKQ327685 CTM327685:CUM327685 DDI327685:DEI327685 DNE327685:DOE327685 DXA327685:DYA327685 EGW327685:EHW327685 EQS327685:ERS327685 FAO327685:FBO327685 FKK327685:FLK327685 FUG327685:FVG327685 GEC327685:GFC327685 GNY327685:GOY327685 GXU327685:GYU327685 HHQ327685:HIQ327685 HRM327685:HSM327685 IBI327685:ICI327685 ILE327685:IME327685 IVA327685:IWA327685 JEW327685:JFW327685 JOS327685:JPS327685 JYO327685:JZO327685 KIK327685:KJK327685 KSG327685:KTG327685 LCC327685:LDC327685 LLY327685:LMY327685 LVU327685:LWU327685 MFQ327685:MGQ327685 MPM327685:MQM327685 MZI327685:NAI327685 NJE327685:NKE327685 NTA327685:NUA327685 OCW327685:ODW327685 OMS327685:ONS327685 OWO327685:OXO327685 PGK327685:PHK327685 PQG327685:PRG327685 QAC327685:QBC327685 QJY327685:QKY327685 QTU327685:QUU327685 RDQ327685:REQ327685 RNM327685:ROM327685 RXI327685:RYI327685 SHE327685:SIE327685 SRA327685:SSA327685 TAW327685:TBW327685 TKS327685:TLS327685 TUO327685:TVO327685 UEK327685:UFK327685 UOG327685:UPG327685 UYC327685:UZC327685 VHY327685:VIY327685 VRU327685:VSU327685 WBQ327685:WCQ327685 WLM327685:WMM327685 WVI327685:WWI327685 A393221:AA393221 IW393221:JW393221 SS393221:TS393221 ACO393221:ADO393221 AMK393221:ANK393221 AWG393221:AXG393221 BGC393221:BHC393221 BPY393221:BQY393221 BZU393221:CAU393221 CJQ393221:CKQ393221 CTM393221:CUM393221 DDI393221:DEI393221 DNE393221:DOE393221 DXA393221:DYA393221 EGW393221:EHW393221 EQS393221:ERS393221 FAO393221:FBO393221 FKK393221:FLK393221 FUG393221:FVG393221 GEC393221:GFC393221 GNY393221:GOY393221 GXU393221:GYU393221 HHQ393221:HIQ393221 HRM393221:HSM393221 IBI393221:ICI393221 ILE393221:IME393221 IVA393221:IWA393221 JEW393221:JFW393221 JOS393221:JPS393221 JYO393221:JZO393221 KIK393221:KJK393221 KSG393221:KTG393221 LCC393221:LDC393221 LLY393221:LMY393221 LVU393221:LWU393221 MFQ393221:MGQ393221 MPM393221:MQM393221 MZI393221:NAI393221 NJE393221:NKE393221 NTA393221:NUA393221 OCW393221:ODW393221 OMS393221:ONS393221 OWO393221:OXO393221 PGK393221:PHK393221 PQG393221:PRG393221 QAC393221:QBC393221 QJY393221:QKY393221 QTU393221:QUU393221 RDQ393221:REQ393221 RNM393221:ROM393221 RXI393221:RYI393221 SHE393221:SIE393221 SRA393221:SSA393221 TAW393221:TBW393221 TKS393221:TLS393221 TUO393221:TVO393221 UEK393221:UFK393221 UOG393221:UPG393221 UYC393221:UZC393221 VHY393221:VIY393221 VRU393221:VSU393221 WBQ393221:WCQ393221 WLM393221:WMM393221 WVI393221:WWI393221 A458757:AA458757 IW458757:JW458757 SS458757:TS458757 ACO458757:ADO458757 AMK458757:ANK458757 AWG458757:AXG458757 BGC458757:BHC458757 BPY458757:BQY458757 BZU458757:CAU458757 CJQ458757:CKQ458757 CTM458757:CUM458757 DDI458757:DEI458757 DNE458757:DOE458757 DXA458757:DYA458757 EGW458757:EHW458757 EQS458757:ERS458757 FAO458757:FBO458757 FKK458757:FLK458757 FUG458757:FVG458757 GEC458757:GFC458757 GNY458757:GOY458757 GXU458757:GYU458757 HHQ458757:HIQ458757 HRM458757:HSM458757 IBI458757:ICI458757 ILE458757:IME458757 IVA458757:IWA458757 JEW458757:JFW458757 JOS458757:JPS458757 JYO458757:JZO458757 KIK458757:KJK458757 KSG458757:KTG458757 LCC458757:LDC458757 LLY458757:LMY458757 LVU458757:LWU458757 MFQ458757:MGQ458757 MPM458757:MQM458757 MZI458757:NAI458757 NJE458757:NKE458757 NTA458757:NUA458757 OCW458757:ODW458757 OMS458757:ONS458757 OWO458757:OXO458757 PGK458757:PHK458757 PQG458757:PRG458757 QAC458757:QBC458757 QJY458757:QKY458757 QTU458757:QUU458757 RDQ458757:REQ458757 RNM458757:ROM458757 RXI458757:RYI458757 SHE458757:SIE458757 SRA458757:SSA458757 TAW458757:TBW458757 TKS458757:TLS458757 TUO458757:TVO458757 UEK458757:UFK458757 UOG458757:UPG458757 UYC458757:UZC458757 VHY458757:VIY458757 VRU458757:VSU458757 WBQ458757:WCQ458757 WLM458757:WMM458757 WVI458757:WWI458757 A524293:AA524293 IW524293:JW524293 SS524293:TS524293 ACO524293:ADO524293 AMK524293:ANK524293 AWG524293:AXG524293 BGC524293:BHC524293 BPY524293:BQY524293 BZU524293:CAU524293 CJQ524293:CKQ524293 CTM524293:CUM524293 DDI524293:DEI524293 DNE524293:DOE524293 DXA524293:DYA524293 EGW524293:EHW524293 EQS524293:ERS524293 FAO524293:FBO524293 FKK524293:FLK524293 FUG524293:FVG524293 GEC524293:GFC524293 GNY524293:GOY524293 GXU524293:GYU524293 HHQ524293:HIQ524293 HRM524293:HSM524293 IBI524293:ICI524293 ILE524293:IME524293 IVA524293:IWA524293 JEW524293:JFW524293 JOS524293:JPS524293 JYO524293:JZO524293 KIK524293:KJK524293 KSG524293:KTG524293 LCC524293:LDC524293 LLY524293:LMY524293 LVU524293:LWU524293 MFQ524293:MGQ524293 MPM524293:MQM524293 MZI524293:NAI524293 NJE524293:NKE524293 NTA524293:NUA524293 OCW524293:ODW524293 OMS524293:ONS524293 OWO524293:OXO524293 PGK524293:PHK524293 PQG524293:PRG524293 QAC524293:QBC524293 QJY524293:QKY524293 QTU524293:QUU524293 RDQ524293:REQ524293 RNM524293:ROM524293 RXI524293:RYI524293 SHE524293:SIE524293 SRA524293:SSA524293 TAW524293:TBW524293 TKS524293:TLS524293 TUO524293:TVO524293 UEK524293:UFK524293 UOG524293:UPG524293 UYC524293:UZC524293 VHY524293:VIY524293 VRU524293:VSU524293 WBQ524293:WCQ524293 WLM524293:WMM524293 WVI524293:WWI524293 A589829:AA589829 IW589829:JW589829 SS589829:TS589829 ACO589829:ADO589829 AMK589829:ANK589829 AWG589829:AXG589829 BGC589829:BHC589829 BPY589829:BQY589829 BZU589829:CAU589829 CJQ589829:CKQ589829 CTM589829:CUM589829 DDI589829:DEI589829 DNE589829:DOE589829 DXA589829:DYA589829 EGW589829:EHW589829 EQS589829:ERS589829 FAO589829:FBO589829 FKK589829:FLK589829 FUG589829:FVG589829 GEC589829:GFC589829 GNY589829:GOY589829 GXU589829:GYU589829 HHQ589829:HIQ589829 HRM589829:HSM589829 IBI589829:ICI589829 ILE589829:IME589829 IVA589829:IWA589829 JEW589829:JFW589829 JOS589829:JPS589829 JYO589829:JZO589829 KIK589829:KJK589829 KSG589829:KTG589829 LCC589829:LDC589829 LLY589829:LMY589829 LVU589829:LWU589829 MFQ589829:MGQ589829 MPM589829:MQM589829 MZI589829:NAI589829 NJE589829:NKE589829 NTA589829:NUA589829 OCW589829:ODW589829 OMS589829:ONS589829 OWO589829:OXO589829 PGK589829:PHK589829 PQG589829:PRG589829 QAC589829:QBC589829 QJY589829:QKY589829 QTU589829:QUU589829 RDQ589829:REQ589829 RNM589829:ROM589829 RXI589829:RYI589829 SHE589829:SIE589829 SRA589829:SSA589829 TAW589829:TBW589829 TKS589829:TLS589829 TUO589829:TVO589829 UEK589829:UFK589829 UOG589829:UPG589829 UYC589829:UZC589829 VHY589829:VIY589829 VRU589829:VSU589829 WBQ589829:WCQ589829 WLM589829:WMM589829 WVI589829:WWI589829 A655365:AA655365 IW655365:JW655365 SS655365:TS655365 ACO655365:ADO655365 AMK655365:ANK655365 AWG655365:AXG655365 BGC655365:BHC655365 BPY655365:BQY655365 BZU655365:CAU655365 CJQ655365:CKQ655365 CTM655365:CUM655365 DDI655365:DEI655365 DNE655365:DOE655365 DXA655365:DYA655365 EGW655365:EHW655365 EQS655365:ERS655365 FAO655365:FBO655365 FKK655365:FLK655365 FUG655365:FVG655365 GEC655365:GFC655365 GNY655365:GOY655365 GXU655365:GYU655365 HHQ655365:HIQ655365 HRM655365:HSM655365 IBI655365:ICI655365 ILE655365:IME655365 IVA655365:IWA655365 JEW655365:JFW655365 JOS655365:JPS655365 JYO655365:JZO655365 KIK655365:KJK655365 KSG655365:KTG655365 LCC655365:LDC655365 LLY655365:LMY655365 LVU655365:LWU655365 MFQ655365:MGQ655365 MPM655365:MQM655365 MZI655365:NAI655365 NJE655365:NKE655365 NTA655365:NUA655365 OCW655365:ODW655365 OMS655365:ONS655365 OWO655365:OXO655365 PGK655365:PHK655365 PQG655365:PRG655365 QAC655365:QBC655365 QJY655365:QKY655365 QTU655365:QUU655365 RDQ655365:REQ655365 RNM655365:ROM655365 RXI655365:RYI655365 SHE655365:SIE655365 SRA655365:SSA655365 TAW655365:TBW655365 TKS655365:TLS655365 TUO655365:TVO655365 UEK655365:UFK655365 UOG655365:UPG655365 UYC655365:UZC655365 VHY655365:VIY655365 VRU655365:VSU655365 WBQ655365:WCQ655365 WLM655365:WMM655365 WVI655365:WWI655365 A720901:AA720901 IW720901:JW720901 SS720901:TS720901 ACO720901:ADO720901 AMK720901:ANK720901 AWG720901:AXG720901 BGC720901:BHC720901 BPY720901:BQY720901 BZU720901:CAU720901 CJQ720901:CKQ720901 CTM720901:CUM720901 DDI720901:DEI720901 DNE720901:DOE720901 DXA720901:DYA720901 EGW720901:EHW720901 EQS720901:ERS720901 FAO720901:FBO720901 FKK720901:FLK720901 FUG720901:FVG720901 GEC720901:GFC720901 GNY720901:GOY720901 GXU720901:GYU720901 HHQ720901:HIQ720901 HRM720901:HSM720901 IBI720901:ICI720901 ILE720901:IME720901 IVA720901:IWA720901 JEW720901:JFW720901 JOS720901:JPS720901 JYO720901:JZO720901 KIK720901:KJK720901 KSG720901:KTG720901 LCC720901:LDC720901 LLY720901:LMY720901 LVU720901:LWU720901 MFQ720901:MGQ720901 MPM720901:MQM720901 MZI720901:NAI720901 NJE720901:NKE720901 NTA720901:NUA720901 OCW720901:ODW720901 OMS720901:ONS720901 OWO720901:OXO720901 PGK720901:PHK720901 PQG720901:PRG720901 QAC720901:QBC720901 QJY720901:QKY720901 QTU720901:QUU720901 RDQ720901:REQ720901 RNM720901:ROM720901 RXI720901:RYI720901 SHE720901:SIE720901 SRA720901:SSA720901 TAW720901:TBW720901 TKS720901:TLS720901 TUO720901:TVO720901 UEK720901:UFK720901 UOG720901:UPG720901 UYC720901:UZC720901 VHY720901:VIY720901 VRU720901:VSU720901 WBQ720901:WCQ720901 WLM720901:WMM720901 WVI720901:WWI720901 A786437:AA786437 IW786437:JW786437 SS786437:TS786437 ACO786437:ADO786437 AMK786437:ANK786437 AWG786437:AXG786437 BGC786437:BHC786437 BPY786437:BQY786437 BZU786437:CAU786437 CJQ786437:CKQ786437 CTM786437:CUM786437 DDI786437:DEI786437 DNE786437:DOE786437 DXA786437:DYA786437 EGW786437:EHW786437 EQS786437:ERS786437 FAO786437:FBO786437 FKK786437:FLK786437 FUG786437:FVG786437 GEC786437:GFC786437 GNY786437:GOY786437 GXU786437:GYU786437 HHQ786437:HIQ786437 HRM786437:HSM786437 IBI786437:ICI786437 ILE786437:IME786437 IVA786437:IWA786437 JEW786437:JFW786437 JOS786437:JPS786437 JYO786437:JZO786437 KIK786437:KJK786437 KSG786437:KTG786437 LCC786437:LDC786437 LLY786437:LMY786437 LVU786437:LWU786437 MFQ786437:MGQ786437 MPM786437:MQM786437 MZI786437:NAI786437 NJE786437:NKE786437 NTA786437:NUA786437 OCW786437:ODW786437 OMS786437:ONS786437 OWO786437:OXO786437 PGK786437:PHK786437 PQG786437:PRG786437 QAC786437:QBC786437 QJY786437:QKY786437 QTU786437:QUU786437 RDQ786437:REQ786437 RNM786437:ROM786437 RXI786437:RYI786437 SHE786437:SIE786437 SRA786437:SSA786437 TAW786437:TBW786437 TKS786437:TLS786437 TUO786437:TVO786437 UEK786437:UFK786437 UOG786437:UPG786437 UYC786437:UZC786437 VHY786437:VIY786437 VRU786437:VSU786437 WBQ786437:WCQ786437 WLM786437:WMM786437 WVI786437:WWI786437 A851973:AA851973 IW851973:JW851973 SS851973:TS851973 ACO851973:ADO851973 AMK851973:ANK851973 AWG851973:AXG851973 BGC851973:BHC851973 BPY851973:BQY851973 BZU851973:CAU851973 CJQ851973:CKQ851973 CTM851973:CUM851973 DDI851973:DEI851973 DNE851973:DOE851973 DXA851973:DYA851973 EGW851973:EHW851973 EQS851973:ERS851973 FAO851973:FBO851973 FKK851973:FLK851973 FUG851973:FVG851973 GEC851973:GFC851973 GNY851973:GOY851973 GXU851973:GYU851973 HHQ851973:HIQ851973 HRM851973:HSM851973 IBI851973:ICI851973 ILE851973:IME851973 IVA851973:IWA851973 JEW851973:JFW851973 JOS851973:JPS851973 JYO851973:JZO851973 KIK851973:KJK851973 KSG851973:KTG851973 LCC851973:LDC851973 LLY851973:LMY851973 LVU851973:LWU851973 MFQ851973:MGQ851973 MPM851973:MQM851973 MZI851973:NAI851973 NJE851973:NKE851973 NTA851973:NUA851973 OCW851973:ODW851973 OMS851973:ONS851973 OWO851973:OXO851973 PGK851973:PHK851973 PQG851973:PRG851973 QAC851973:QBC851973 QJY851973:QKY851973 QTU851973:QUU851973 RDQ851973:REQ851973 RNM851973:ROM851973 RXI851973:RYI851973 SHE851973:SIE851973 SRA851973:SSA851973 TAW851973:TBW851973 TKS851973:TLS851973 TUO851973:TVO851973 UEK851973:UFK851973 UOG851973:UPG851973 UYC851973:UZC851973 VHY851973:VIY851973 VRU851973:VSU851973 WBQ851973:WCQ851973 WLM851973:WMM851973 WVI851973:WWI851973 A917509:AA917509 IW917509:JW917509 SS917509:TS917509 ACO917509:ADO917509 AMK917509:ANK917509 AWG917509:AXG917509 BGC917509:BHC917509 BPY917509:BQY917509 BZU917509:CAU917509 CJQ917509:CKQ917509 CTM917509:CUM917509 DDI917509:DEI917509 DNE917509:DOE917509 DXA917509:DYA917509 EGW917509:EHW917509 EQS917509:ERS917509 FAO917509:FBO917509 FKK917509:FLK917509 FUG917509:FVG917509 GEC917509:GFC917509 GNY917509:GOY917509 GXU917509:GYU917509 HHQ917509:HIQ917509 HRM917509:HSM917509 IBI917509:ICI917509 ILE917509:IME917509 IVA917509:IWA917509 JEW917509:JFW917509 JOS917509:JPS917509 JYO917509:JZO917509 KIK917509:KJK917509 KSG917509:KTG917509 LCC917509:LDC917509 LLY917509:LMY917509 LVU917509:LWU917509 MFQ917509:MGQ917509 MPM917509:MQM917509 MZI917509:NAI917509 NJE917509:NKE917509 NTA917509:NUA917509 OCW917509:ODW917509 OMS917509:ONS917509 OWO917509:OXO917509 PGK917509:PHK917509 PQG917509:PRG917509 QAC917509:QBC917509 QJY917509:QKY917509 QTU917509:QUU917509 RDQ917509:REQ917509 RNM917509:ROM917509 RXI917509:RYI917509 SHE917509:SIE917509 SRA917509:SSA917509 TAW917509:TBW917509 TKS917509:TLS917509 TUO917509:TVO917509 UEK917509:UFK917509 UOG917509:UPG917509 UYC917509:UZC917509 VHY917509:VIY917509 VRU917509:VSU917509 WBQ917509:WCQ917509 WLM917509:WMM917509 WVI917509:WWI917509 A983045:AA983045 IW983045:JW983045 SS983045:TS983045 ACO983045:ADO983045 AMK983045:ANK983045 AWG983045:AXG983045 BGC983045:BHC983045 BPY983045:BQY983045 BZU983045:CAU983045 CJQ983045:CKQ983045 CTM983045:CUM983045 DDI983045:DEI983045 DNE983045:DOE983045 DXA983045:DYA983045 EGW983045:EHW983045 EQS983045:ERS983045 FAO983045:FBO983045 FKK983045:FLK983045 FUG983045:FVG983045 GEC983045:GFC983045 GNY983045:GOY983045 GXU983045:GYU983045 HHQ983045:HIQ983045 HRM983045:HSM983045 IBI983045:ICI983045 ILE983045:IME983045 IVA983045:IWA983045 JEW983045:JFW983045 JOS983045:JPS983045 JYO983045:JZO983045 KIK983045:KJK983045 KSG983045:KTG983045 LCC983045:LDC983045 LLY983045:LMY983045 LVU983045:LWU983045 MFQ983045:MGQ983045 MPM983045:MQM983045 MZI983045:NAI983045 NJE983045:NKE983045 NTA983045:NUA983045 OCW983045:ODW983045 OMS983045:ONS983045 OWO983045:OXO983045 PGK983045:PHK983045 PQG983045:PRG983045 QAC983045:QBC983045 QJY983045:QKY983045 QTU983045:QUU983045 RDQ983045:REQ983045 RNM983045:ROM983045 RXI983045:RYI983045 SHE983045:SIE983045 SRA983045:SSA983045 TAW983045:TBW983045 TKS983045:TLS983045 TUO983045:TVO983045 UEK983045:UFK983045 UOG983045:UPG983045 UYC983045:UZC983045 VHY983045:VIY983045 VRU983045:VSU983045 WBQ983045:WCQ983045 WLM983045:WMM983045 WVI983045:WWI983045" xr:uid="{BD390037-A228-41C7-81B8-0D37FB557DC8}">
      <formula1>$AF$1:$AF$6</formula1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D74A0-2AE5-47B4-8CCF-C02BE7CD1E26}">
  <dimension ref="A1:R66"/>
  <sheetViews>
    <sheetView topLeftCell="A25" workbookViewId="0">
      <selection activeCell="C63" sqref="C63"/>
    </sheetView>
  </sheetViews>
  <sheetFormatPr defaultRowHeight="15" x14ac:dyDescent="0.25"/>
  <cols>
    <col min="1" max="1" width="22.7109375" bestFit="1" customWidth="1"/>
    <col min="6" max="6" width="21" bestFit="1" customWidth="1"/>
    <col min="8" max="8" width="11.140625" customWidth="1"/>
    <col min="9" max="9" width="11.7109375" bestFit="1" customWidth="1"/>
  </cols>
  <sheetData>
    <row r="1" spans="1:18" x14ac:dyDescent="0.25">
      <c r="A1" t="s">
        <v>174</v>
      </c>
      <c r="G1" t="s">
        <v>225</v>
      </c>
    </row>
    <row r="4" spans="1:18" x14ac:dyDescent="0.25">
      <c r="G4" s="205" t="s">
        <v>229</v>
      </c>
      <c r="H4" s="205"/>
    </row>
    <row r="5" spans="1:18" x14ac:dyDescent="0.25">
      <c r="A5" s="145" t="s">
        <v>196</v>
      </c>
      <c r="F5" s="145" t="s">
        <v>196</v>
      </c>
      <c r="O5" s="145" t="s">
        <v>227</v>
      </c>
      <c r="R5" s="145" t="s">
        <v>196</v>
      </c>
    </row>
    <row r="6" spans="1:18" x14ac:dyDescent="0.25">
      <c r="A6" t="s">
        <v>175</v>
      </c>
      <c r="B6" s="144">
        <v>15.62</v>
      </c>
      <c r="F6" t="s">
        <v>175</v>
      </c>
      <c r="G6" s="144">
        <f>(3.55*2)+(4.4*2)</f>
        <v>15.9</v>
      </c>
    </row>
    <row r="7" spans="1:18" x14ac:dyDescent="0.25">
      <c r="A7" t="s">
        <v>176</v>
      </c>
      <c r="B7" s="144">
        <v>11.02</v>
      </c>
      <c r="F7" t="s">
        <v>176</v>
      </c>
      <c r="G7" s="144">
        <f>(7.25*2)+(1.52*2)</f>
        <v>17.54</v>
      </c>
      <c r="N7" t="s">
        <v>226</v>
      </c>
      <c r="O7" s="144">
        <v>13.42</v>
      </c>
      <c r="Q7" t="s">
        <v>226</v>
      </c>
      <c r="R7">
        <v>13.42</v>
      </c>
    </row>
    <row r="8" spans="1:18" x14ac:dyDescent="0.25">
      <c r="A8" t="s">
        <v>177</v>
      </c>
      <c r="B8" s="144">
        <v>2.4</v>
      </c>
      <c r="F8" t="s">
        <v>177</v>
      </c>
      <c r="G8" s="144">
        <f>(1.6*2)+(1.5*2)</f>
        <v>6.2</v>
      </c>
      <c r="N8" t="s">
        <v>226</v>
      </c>
      <c r="O8" s="144">
        <v>13.42</v>
      </c>
      <c r="Q8" t="s">
        <v>226</v>
      </c>
      <c r="R8">
        <v>13.42</v>
      </c>
    </row>
    <row r="9" spans="1:18" x14ac:dyDescent="0.25">
      <c r="A9" t="s">
        <v>177</v>
      </c>
      <c r="B9" s="144">
        <v>2.4</v>
      </c>
      <c r="F9" t="s">
        <v>177</v>
      </c>
      <c r="G9" s="144">
        <f>(1.6*2)+(1.5*2)</f>
        <v>6.2</v>
      </c>
      <c r="N9" t="s">
        <v>226</v>
      </c>
      <c r="O9" s="144">
        <v>13.42</v>
      </c>
      <c r="Q9" t="s">
        <v>226</v>
      </c>
      <c r="R9">
        <v>13.42</v>
      </c>
    </row>
    <row r="10" spans="1:18" x14ac:dyDescent="0.25">
      <c r="A10" t="s">
        <v>178</v>
      </c>
      <c r="B10" s="144">
        <v>20.399999999999999</v>
      </c>
      <c r="F10" t="s">
        <v>178</v>
      </c>
      <c r="G10" s="144">
        <f>(3.4*2)+(6*2)</f>
        <v>18.8</v>
      </c>
      <c r="N10" t="s">
        <v>226</v>
      </c>
      <c r="O10" s="144">
        <v>13.42</v>
      </c>
      <c r="Q10" t="s">
        <v>226</v>
      </c>
      <c r="R10">
        <v>13.42</v>
      </c>
    </row>
    <row r="11" spans="1:18" x14ac:dyDescent="0.25">
      <c r="A11" t="s">
        <v>179</v>
      </c>
      <c r="B11" s="144">
        <v>14.57</v>
      </c>
      <c r="F11" t="s">
        <v>179</v>
      </c>
      <c r="G11" s="144">
        <f>(3.35*2)+(4.35*2)</f>
        <v>15.399999999999999</v>
      </c>
      <c r="N11" t="s">
        <v>226</v>
      </c>
      <c r="O11" s="144">
        <v>13.42</v>
      </c>
      <c r="Q11" t="s">
        <v>226</v>
      </c>
      <c r="R11">
        <v>13.42</v>
      </c>
    </row>
    <row r="12" spans="1:18" x14ac:dyDescent="0.25">
      <c r="A12" t="s">
        <v>180</v>
      </c>
      <c r="B12" s="144">
        <v>15.62</v>
      </c>
      <c r="F12" t="s">
        <v>180</v>
      </c>
      <c r="G12" s="144">
        <f>(4.4*2)+(3.55*2)</f>
        <v>15.9</v>
      </c>
      <c r="N12" t="s">
        <v>226</v>
      </c>
      <c r="O12" s="144">
        <v>13.42</v>
      </c>
      <c r="Q12" t="s">
        <v>226</v>
      </c>
      <c r="R12">
        <v>13.42</v>
      </c>
    </row>
    <row r="13" spans="1:18" x14ac:dyDescent="0.25">
      <c r="A13" t="s">
        <v>181</v>
      </c>
      <c r="B13" s="144">
        <f>3.4*6.07</f>
        <v>20.638000000000002</v>
      </c>
      <c r="F13" t="s">
        <v>181</v>
      </c>
      <c r="G13" s="144">
        <f>(3.4*2)+(6.07*2)</f>
        <v>18.940000000000001</v>
      </c>
      <c r="N13" t="s">
        <v>226</v>
      </c>
      <c r="O13" s="144">
        <v>5.97</v>
      </c>
      <c r="Q13" t="s">
        <v>226</v>
      </c>
      <c r="R13">
        <v>13.42</v>
      </c>
    </row>
    <row r="14" spans="1:18" x14ac:dyDescent="0.25">
      <c r="A14" t="s">
        <v>176</v>
      </c>
      <c r="B14" s="144">
        <f>2*3.4</f>
        <v>6.8</v>
      </c>
      <c r="F14" t="s">
        <v>176</v>
      </c>
      <c r="G14" s="144">
        <f>(3.4*2)+(2*2)</f>
        <v>10.8</v>
      </c>
      <c r="N14" t="s">
        <v>226</v>
      </c>
      <c r="O14" s="144">
        <v>7.77</v>
      </c>
    </row>
    <row r="15" spans="1:18" x14ac:dyDescent="0.25">
      <c r="A15" t="s">
        <v>182</v>
      </c>
      <c r="B15" s="144">
        <v>207.47</v>
      </c>
      <c r="F15" t="s">
        <v>182</v>
      </c>
      <c r="G15" s="144">
        <f>(9.77*2)+(18*2)+(5.4*2)</f>
        <v>66.34</v>
      </c>
      <c r="N15" t="s">
        <v>226</v>
      </c>
      <c r="O15" s="144">
        <v>7.77</v>
      </c>
    </row>
    <row r="16" spans="1:18" x14ac:dyDescent="0.25">
      <c r="A16" t="s">
        <v>183</v>
      </c>
      <c r="B16" s="144">
        <f>4.2*6.07</f>
        <v>25.494000000000003</v>
      </c>
      <c r="F16" t="s">
        <v>183</v>
      </c>
      <c r="G16" s="144">
        <f>(4.2*2)+(6.07*2)</f>
        <v>20.54</v>
      </c>
      <c r="N16" t="s">
        <v>226</v>
      </c>
      <c r="O16" s="144">
        <v>5.97</v>
      </c>
    </row>
    <row r="17" spans="1:15" x14ac:dyDescent="0.25">
      <c r="A17" t="s">
        <v>184</v>
      </c>
      <c r="B17" s="144">
        <v>1.62</v>
      </c>
      <c r="F17" t="s">
        <v>184</v>
      </c>
      <c r="G17" s="144">
        <f>(1.35*2)+1.2</f>
        <v>3.9000000000000004</v>
      </c>
      <c r="N17" t="s">
        <v>228</v>
      </c>
      <c r="O17" s="144">
        <v>36.6</v>
      </c>
    </row>
    <row r="18" spans="1:15" x14ac:dyDescent="0.25">
      <c r="A18" t="s">
        <v>185</v>
      </c>
      <c r="B18" s="144">
        <v>1.8</v>
      </c>
      <c r="F18" t="s">
        <v>185</v>
      </c>
      <c r="G18" s="144">
        <f>(1.35*2)+(1.5*2)</f>
        <v>5.7</v>
      </c>
      <c r="N18" t="s">
        <v>228</v>
      </c>
      <c r="O18" s="144">
        <v>36.6</v>
      </c>
    </row>
    <row r="19" spans="1:15" x14ac:dyDescent="0.25">
      <c r="A19" t="s">
        <v>176</v>
      </c>
      <c r="B19" s="144">
        <v>2.85</v>
      </c>
      <c r="F19" t="s">
        <v>176</v>
      </c>
      <c r="G19" s="144">
        <f>(2.85*2)*(1*2)</f>
        <v>11.4</v>
      </c>
      <c r="N19" t="s">
        <v>228</v>
      </c>
      <c r="O19" s="144">
        <v>36.6</v>
      </c>
    </row>
    <row r="20" spans="1:15" x14ac:dyDescent="0.25">
      <c r="A20" t="s">
        <v>186</v>
      </c>
      <c r="B20" s="144">
        <v>9.9700000000000006</v>
      </c>
      <c r="F20" t="s">
        <v>186</v>
      </c>
      <c r="G20" s="144">
        <f>(3.5*2)+(2.85*2)</f>
        <v>12.7</v>
      </c>
      <c r="N20" t="s">
        <v>228</v>
      </c>
      <c r="O20" s="144">
        <v>36.6</v>
      </c>
    </row>
    <row r="21" spans="1:15" x14ac:dyDescent="0.25">
      <c r="A21" t="s">
        <v>187</v>
      </c>
      <c r="B21" s="144">
        <v>3.9</v>
      </c>
      <c r="F21" t="s">
        <v>187</v>
      </c>
      <c r="G21" s="144">
        <f>(1.85*2)+(2*2)</f>
        <v>7.7</v>
      </c>
    </row>
    <row r="22" spans="1:15" x14ac:dyDescent="0.25">
      <c r="A22" t="s">
        <v>176</v>
      </c>
      <c r="B22" s="144">
        <v>4.93</v>
      </c>
      <c r="F22" t="s">
        <v>176</v>
      </c>
      <c r="G22" s="144">
        <f>(1.85*2)+(2.67*2)</f>
        <v>9.0399999999999991</v>
      </c>
    </row>
    <row r="23" spans="1:15" x14ac:dyDescent="0.25">
      <c r="A23" t="s">
        <v>187</v>
      </c>
      <c r="B23" s="144">
        <v>3.9</v>
      </c>
      <c r="F23" t="s">
        <v>187</v>
      </c>
      <c r="G23" s="144">
        <f>(1.85*2)+(2*2)</f>
        <v>7.7</v>
      </c>
    </row>
    <row r="24" spans="1:15" x14ac:dyDescent="0.25">
      <c r="A24" t="s">
        <v>188</v>
      </c>
      <c r="B24" s="144">
        <v>13.6</v>
      </c>
      <c r="F24" t="s">
        <v>188</v>
      </c>
      <c r="G24" s="144">
        <f>(3.4*2)+(4*2)</f>
        <v>14.8</v>
      </c>
    </row>
    <row r="25" spans="1:15" x14ac:dyDescent="0.25">
      <c r="A25" t="s">
        <v>189</v>
      </c>
      <c r="B25" s="144">
        <v>13.68</v>
      </c>
      <c r="F25" t="s">
        <v>189</v>
      </c>
      <c r="G25" s="144">
        <f>(3.4*2)+(4*2)</f>
        <v>14.8</v>
      </c>
    </row>
    <row r="26" spans="1:15" x14ac:dyDescent="0.25">
      <c r="A26" t="s">
        <v>193</v>
      </c>
      <c r="B26" s="144">
        <f>(0.17+0.3)*1.56*19</f>
        <v>13.9308</v>
      </c>
      <c r="F26" t="s">
        <v>193</v>
      </c>
      <c r="G26" s="144">
        <f>(0.17+0.3)*19*2</f>
        <v>17.86</v>
      </c>
    </row>
    <row r="27" spans="1:15" x14ac:dyDescent="0.25">
      <c r="A27" t="s">
        <v>194</v>
      </c>
      <c r="B27" s="144">
        <f>1.5*2*18</f>
        <v>54</v>
      </c>
      <c r="F27" t="s">
        <v>194</v>
      </c>
      <c r="G27" s="144">
        <f>(20.04*4)+3</f>
        <v>83.16</v>
      </c>
    </row>
    <row r="28" spans="1:15" x14ac:dyDescent="0.25">
      <c r="B28" s="144"/>
      <c r="G28" s="144"/>
    </row>
    <row r="29" spans="1:15" x14ac:dyDescent="0.25">
      <c r="A29" s="145" t="s">
        <v>195</v>
      </c>
      <c r="B29" s="144"/>
      <c r="F29" s="145" t="s">
        <v>195</v>
      </c>
      <c r="G29" s="144"/>
    </row>
    <row r="30" spans="1:15" x14ac:dyDescent="0.25">
      <c r="A30" t="s">
        <v>190</v>
      </c>
      <c r="B30" s="144">
        <v>45</v>
      </c>
      <c r="F30" t="s">
        <v>190</v>
      </c>
      <c r="G30" s="144">
        <f>(7.5*2)+(6*2)</f>
        <v>27</v>
      </c>
    </row>
    <row r="31" spans="1:15" x14ac:dyDescent="0.25">
      <c r="A31" t="s">
        <v>191</v>
      </c>
      <c r="B31" s="144">
        <v>48.83</v>
      </c>
      <c r="F31" t="s">
        <v>191</v>
      </c>
      <c r="G31" s="144">
        <f>(5.95*2)+(6*2)</f>
        <v>23.9</v>
      </c>
    </row>
    <row r="32" spans="1:15" x14ac:dyDescent="0.25">
      <c r="A32" t="s">
        <v>192</v>
      </c>
      <c r="B32" s="144">
        <v>45</v>
      </c>
      <c r="F32" t="s">
        <v>192</v>
      </c>
      <c r="G32" s="144">
        <f>(7.5*2)+(6*2)</f>
        <v>27</v>
      </c>
    </row>
    <row r="33" spans="1:7" x14ac:dyDescent="0.25">
      <c r="A33" t="s">
        <v>193</v>
      </c>
      <c r="B33" s="144">
        <f>(0.16+0.28)*1.56*19</f>
        <v>13.041600000000003</v>
      </c>
      <c r="F33" t="s">
        <v>193</v>
      </c>
      <c r="G33" s="144">
        <f>(0.17+0.3)*19*2</f>
        <v>17.86</v>
      </c>
    </row>
    <row r="34" spans="1:7" x14ac:dyDescent="0.25">
      <c r="B34" s="144"/>
      <c r="G34" s="144"/>
    </row>
    <row r="35" spans="1:7" x14ac:dyDescent="0.25">
      <c r="A35" s="145" t="s">
        <v>197</v>
      </c>
      <c r="B35" s="144"/>
      <c r="F35" s="145" t="s">
        <v>197</v>
      </c>
      <c r="G35" s="144"/>
    </row>
    <row r="36" spans="1:7" x14ac:dyDescent="0.25">
      <c r="A36" s="145" t="s">
        <v>195</v>
      </c>
      <c r="B36" s="144"/>
      <c r="F36" s="145" t="s">
        <v>195</v>
      </c>
      <c r="G36" s="144"/>
    </row>
    <row r="37" spans="1:7" x14ac:dyDescent="0.25">
      <c r="A37" t="s">
        <v>190</v>
      </c>
      <c r="B37" s="144">
        <v>45</v>
      </c>
      <c r="F37" t="s">
        <v>190</v>
      </c>
      <c r="G37" s="144">
        <f>(7.5*2)+(6*2)</f>
        <v>27</v>
      </c>
    </row>
    <row r="38" spans="1:7" x14ac:dyDescent="0.25">
      <c r="A38" t="s">
        <v>191</v>
      </c>
      <c r="B38" s="144">
        <v>48.83</v>
      </c>
      <c r="F38" t="s">
        <v>191</v>
      </c>
      <c r="G38" s="144">
        <f>(5.95*2)+(6*2)</f>
        <v>23.9</v>
      </c>
    </row>
    <row r="39" spans="1:7" x14ac:dyDescent="0.25">
      <c r="A39" t="s">
        <v>192</v>
      </c>
      <c r="B39" s="144">
        <v>45</v>
      </c>
      <c r="F39" t="s">
        <v>192</v>
      </c>
      <c r="G39" s="144">
        <f>(7.5*2)+(6*2)</f>
        <v>27</v>
      </c>
    </row>
    <row r="40" spans="1:7" x14ac:dyDescent="0.25">
      <c r="A40" t="s">
        <v>193</v>
      </c>
      <c r="B40" s="144">
        <f>(0.16+0.28)*1.56*19</f>
        <v>13.041600000000003</v>
      </c>
      <c r="F40" t="s">
        <v>193</v>
      </c>
      <c r="G40" s="144">
        <f>(0.17+0.3)*19*2</f>
        <v>17.86</v>
      </c>
    </row>
    <row r="41" spans="1:7" x14ac:dyDescent="0.25">
      <c r="B41" s="144"/>
      <c r="G41" s="144"/>
    </row>
    <row r="42" spans="1:7" x14ac:dyDescent="0.25">
      <c r="A42" s="145" t="s">
        <v>198</v>
      </c>
      <c r="B42" s="144"/>
      <c r="F42" s="145" t="s">
        <v>198</v>
      </c>
      <c r="G42" s="144"/>
    </row>
    <row r="43" spans="1:7" x14ac:dyDescent="0.25">
      <c r="A43" t="s">
        <v>199</v>
      </c>
      <c r="B43" s="144">
        <v>42.08</v>
      </c>
      <c r="F43" t="s">
        <v>199</v>
      </c>
      <c r="G43" s="144">
        <f>(5.97*2)+(7.05*2)</f>
        <v>26.04</v>
      </c>
    </row>
    <row r="44" spans="1:7" x14ac:dyDescent="0.25">
      <c r="A44" t="s">
        <v>200</v>
      </c>
      <c r="B44" s="144">
        <v>42</v>
      </c>
      <c r="F44" t="s">
        <v>200</v>
      </c>
      <c r="G44" s="144">
        <f>(7*2)+(6*2)</f>
        <v>26</v>
      </c>
    </row>
    <row r="45" spans="1:7" x14ac:dyDescent="0.25">
      <c r="A45" t="s">
        <v>201</v>
      </c>
      <c r="B45" s="144">
        <v>42.68</v>
      </c>
      <c r="F45" t="s">
        <v>201</v>
      </c>
      <c r="G45" s="144">
        <f>(5.97*2)+(7.05*2)</f>
        <v>26.04</v>
      </c>
    </row>
    <row r="46" spans="1:7" x14ac:dyDescent="0.25">
      <c r="A46" t="s">
        <v>202</v>
      </c>
      <c r="B46" s="144">
        <v>54.39</v>
      </c>
      <c r="F46" t="s">
        <v>202</v>
      </c>
      <c r="G46" s="144">
        <f>(7.77*2)+(7*2)</f>
        <v>29.54</v>
      </c>
    </row>
    <row r="47" spans="1:7" x14ac:dyDescent="0.25">
      <c r="A47" t="s">
        <v>191</v>
      </c>
      <c r="B47" s="144">
        <v>100.36</v>
      </c>
      <c r="F47" t="s">
        <v>191</v>
      </c>
      <c r="G47" s="144">
        <f>(22.2*2)+(7*2)</f>
        <v>58.4</v>
      </c>
    </row>
    <row r="48" spans="1:7" x14ac:dyDescent="0.25">
      <c r="A48" t="s">
        <v>203</v>
      </c>
      <c r="B48" s="144">
        <v>41.79</v>
      </c>
      <c r="F48" t="s">
        <v>203</v>
      </c>
      <c r="G48" s="144">
        <f>(5.97*2)+(7*2)</f>
        <v>25.939999999999998</v>
      </c>
    </row>
    <row r="49" spans="1:7" x14ac:dyDescent="0.25">
      <c r="A49" t="s">
        <v>204</v>
      </c>
      <c r="B49" s="144">
        <v>44.77</v>
      </c>
      <c r="F49" t="s">
        <v>204</v>
      </c>
      <c r="G49" s="144">
        <f>(5.97*2)+(7.5*2)</f>
        <v>26.939999999999998</v>
      </c>
    </row>
    <row r="50" spans="1:7" x14ac:dyDescent="0.25">
      <c r="A50" t="s">
        <v>205</v>
      </c>
      <c r="B50" s="144">
        <v>42</v>
      </c>
      <c r="F50" t="s">
        <v>205</v>
      </c>
      <c r="G50" s="144">
        <f>(7*2)+(6*2)</f>
        <v>26</v>
      </c>
    </row>
    <row r="51" spans="1:7" x14ac:dyDescent="0.25">
      <c r="B51" s="144"/>
      <c r="G51" s="144"/>
    </row>
    <row r="52" spans="1:7" x14ac:dyDescent="0.25">
      <c r="A52" t="s">
        <v>206</v>
      </c>
      <c r="B52" s="144">
        <f>SUM(B1:B51)</f>
        <v>1180.4259999999999</v>
      </c>
      <c r="G52" s="144">
        <f>SUM(G6:G51)</f>
        <v>837.73999999999978</v>
      </c>
    </row>
    <row r="53" spans="1:7" x14ac:dyDescent="0.25">
      <c r="B53" s="144"/>
    </row>
    <row r="54" spans="1:7" x14ac:dyDescent="0.25">
      <c r="B54" s="144"/>
    </row>
    <row r="55" spans="1:7" x14ac:dyDescent="0.25">
      <c r="B55" s="144"/>
    </row>
    <row r="56" spans="1:7" x14ac:dyDescent="0.25">
      <c r="B56" s="144"/>
    </row>
    <row r="57" spans="1:7" x14ac:dyDescent="0.25">
      <c r="B57" s="144"/>
    </row>
    <row r="58" spans="1:7" x14ac:dyDescent="0.25">
      <c r="B58" s="144"/>
    </row>
    <row r="59" spans="1:7" x14ac:dyDescent="0.25">
      <c r="A59" t="s">
        <v>231</v>
      </c>
      <c r="B59" s="144" t="s">
        <v>207</v>
      </c>
    </row>
    <row r="60" spans="1:7" x14ac:dyDescent="0.25">
      <c r="B60" s="144"/>
    </row>
    <row r="61" spans="1:7" x14ac:dyDescent="0.25">
      <c r="B61" s="144"/>
    </row>
    <row r="62" spans="1:7" x14ac:dyDescent="0.25">
      <c r="B62" s="144"/>
    </row>
    <row r="63" spans="1:7" x14ac:dyDescent="0.25">
      <c r="B63" s="144"/>
    </row>
    <row r="64" spans="1:7" x14ac:dyDescent="0.25">
      <c r="B64" s="144"/>
    </row>
    <row r="65" spans="2:2" x14ac:dyDescent="0.25">
      <c r="B65" s="144"/>
    </row>
    <row r="66" spans="2:2" x14ac:dyDescent="0.25">
      <c r="B66" s="144"/>
    </row>
  </sheetData>
  <mergeCells count="1">
    <mergeCell ref="G4:H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64"/>
  <sheetViews>
    <sheetView topLeftCell="A4" zoomScale="85" zoomScaleNormal="85" workbookViewId="0">
      <selection activeCell="E61" sqref="E61"/>
    </sheetView>
  </sheetViews>
  <sheetFormatPr defaultRowHeight="15.75" x14ac:dyDescent="0.25"/>
  <cols>
    <col min="1" max="1" width="2.5703125" customWidth="1"/>
    <col min="3" max="3" width="14.7109375" customWidth="1"/>
    <col min="4" max="4" width="13.42578125" customWidth="1"/>
    <col min="5" max="5" width="84.85546875" customWidth="1"/>
    <col min="7" max="7" width="10.7109375" bestFit="1" customWidth="1"/>
    <col min="8" max="8" width="14.7109375" customWidth="1"/>
    <col min="9" max="9" width="16.7109375" bestFit="1" customWidth="1"/>
    <col min="10" max="10" width="20" bestFit="1" customWidth="1"/>
    <col min="11" max="11" width="17.28515625" customWidth="1"/>
    <col min="12" max="12" width="20" style="1" bestFit="1" customWidth="1"/>
    <col min="13" max="13" width="14.7109375" customWidth="1"/>
    <col min="14" max="14" width="17.5703125" bestFit="1" customWidth="1"/>
  </cols>
  <sheetData>
    <row r="1" spans="2:18" ht="8.25" customHeight="1" thickBot="1" x14ac:dyDescent="0.3">
      <c r="B1" s="2"/>
      <c r="L1"/>
    </row>
    <row r="2" spans="2:18" ht="28.5" customHeight="1" x14ac:dyDescent="0.25">
      <c r="B2" s="202"/>
      <c r="C2" s="203"/>
      <c r="D2" s="203"/>
      <c r="E2" s="206" t="s">
        <v>0</v>
      </c>
      <c r="F2" s="206"/>
      <c r="G2" s="206"/>
      <c r="H2" s="206"/>
      <c r="I2" s="206"/>
      <c r="J2" s="207"/>
      <c r="K2" s="1"/>
      <c r="M2" s="1"/>
      <c r="N2" s="1"/>
    </row>
    <row r="3" spans="2:18" ht="33" customHeight="1" x14ac:dyDescent="0.25">
      <c r="B3" s="204"/>
      <c r="C3" s="205"/>
      <c r="D3" s="205"/>
      <c r="E3" s="208" t="s">
        <v>1</v>
      </c>
      <c r="F3" s="208"/>
      <c r="G3" s="208"/>
      <c r="H3" s="208"/>
      <c r="I3" s="208"/>
      <c r="J3" s="209"/>
      <c r="K3" s="1"/>
      <c r="M3" s="1"/>
      <c r="N3" s="1"/>
    </row>
    <row r="4" spans="2:18" ht="28.5" customHeight="1" x14ac:dyDescent="0.25">
      <c r="B4" s="210" t="s">
        <v>2</v>
      </c>
      <c r="C4" s="211"/>
      <c r="D4" s="211"/>
      <c r="E4" s="17" t="s">
        <v>110</v>
      </c>
      <c r="F4" s="212" t="s">
        <v>6</v>
      </c>
      <c r="G4" s="212"/>
      <c r="H4" s="212"/>
      <c r="I4" s="212"/>
      <c r="J4" s="14" t="s">
        <v>8</v>
      </c>
      <c r="K4" s="1"/>
      <c r="M4" s="1"/>
      <c r="N4" s="1"/>
    </row>
    <row r="5" spans="2:18" ht="39.75" customHeight="1" x14ac:dyDescent="0.25">
      <c r="B5" s="210" t="s">
        <v>3</v>
      </c>
      <c r="C5" s="211"/>
      <c r="D5" s="211"/>
      <c r="E5" s="17" t="s">
        <v>109</v>
      </c>
      <c r="F5" s="211" t="s">
        <v>7</v>
      </c>
      <c r="G5" s="211"/>
      <c r="H5" s="211"/>
      <c r="I5" s="211"/>
      <c r="J5" s="213"/>
      <c r="K5" s="1"/>
      <c r="M5" s="1"/>
      <c r="N5" s="1"/>
    </row>
    <row r="6" spans="2:18" ht="30.75" customHeight="1" x14ac:dyDescent="0.25">
      <c r="B6" s="210" t="s">
        <v>4</v>
      </c>
      <c r="C6" s="211"/>
      <c r="D6" s="211"/>
      <c r="E6" s="16" t="s">
        <v>165</v>
      </c>
      <c r="F6" s="211"/>
      <c r="G6" s="211"/>
      <c r="H6" s="211"/>
      <c r="I6" s="211"/>
      <c r="J6" s="213"/>
      <c r="K6" s="1"/>
      <c r="M6" s="1"/>
      <c r="N6" s="1"/>
    </row>
    <row r="7" spans="2:18" x14ac:dyDescent="0.25">
      <c r="B7" s="210" t="s">
        <v>5</v>
      </c>
      <c r="C7" s="211"/>
      <c r="D7" s="211"/>
      <c r="E7" s="16" t="s">
        <v>96</v>
      </c>
      <c r="F7" s="211"/>
      <c r="G7" s="211"/>
      <c r="H7" s="15"/>
      <c r="I7" s="10" t="s">
        <v>21</v>
      </c>
      <c r="J7" s="49">
        <v>0.28749999999999998</v>
      </c>
      <c r="K7" s="1"/>
      <c r="M7" s="1"/>
      <c r="N7" s="1"/>
    </row>
    <row r="8" spans="2:18" x14ac:dyDescent="0.25">
      <c r="B8" s="214" t="s">
        <v>11</v>
      </c>
      <c r="C8" s="215"/>
      <c r="D8" s="215"/>
      <c r="E8" s="215"/>
      <c r="F8" s="215"/>
      <c r="G8" s="215"/>
      <c r="H8" s="215"/>
      <c r="I8" s="215"/>
      <c r="J8" s="216"/>
      <c r="K8" s="1"/>
      <c r="M8" s="1"/>
      <c r="N8" s="1"/>
      <c r="R8" s="18"/>
    </row>
    <row r="9" spans="2:18" ht="25.5" x14ac:dyDescent="0.25">
      <c r="B9" s="37" t="s">
        <v>12</v>
      </c>
      <c r="C9" s="38" t="s">
        <v>13</v>
      </c>
      <c r="D9" s="38" t="s">
        <v>10</v>
      </c>
      <c r="E9" s="38" t="s">
        <v>14</v>
      </c>
      <c r="F9" s="38" t="s">
        <v>20</v>
      </c>
      <c r="G9" s="38" t="s">
        <v>15</v>
      </c>
      <c r="H9" s="39" t="s">
        <v>16</v>
      </c>
      <c r="I9" s="39" t="s">
        <v>17</v>
      </c>
      <c r="J9" s="40" t="s">
        <v>18</v>
      </c>
      <c r="K9" s="1"/>
      <c r="L9" s="121"/>
      <c r="M9" s="121"/>
      <c r="N9" s="3"/>
      <c r="Q9" s="29"/>
    </row>
    <row r="10" spans="2:18" x14ac:dyDescent="0.25">
      <c r="B10" s="41">
        <v>1</v>
      </c>
      <c r="C10" s="30"/>
      <c r="D10" s="30"/>
      <c r="E10" s="30" t="s">
        <v>23</v>
      </c>
      <c r="F10" s="30"/>
      <c r="G10" s="30"/>
      <c r="H10" s="31"/>
      <c r="I10" s="31"/>
      <c r="J10" s="32"/>
      <c r="K10" s="1"/>
      <c r="M10" s="1"/>
      <c r="N10" s="1"/>
    </row>
    <row r="11" spans="2:18" x14ac:dyDescent="0.25">
      <c r="B11" s="9"/>
      <c r="C11" s="9" t="s">
        <v>22</v>
      </c>
      <c r="D11" s="9">
        <v>90778</v>
      </c>
      <c r="E11" s="132" t="s">
        <v>102</v>
      </c>
      <c r="F11" s="9" t="s">
        <v>93</v>
      </c>
      <c r="G11" s="52">
        <v>40</v>
      </c>
      <c r="H11" s="146">
        <v>101.89</v>
      </c>
      <c r="I11" s="146">
        <f>H11*(1+J$7)</f>
        <v>131.18337500000001</v>
      </c>
      <c r="J11" s="147">
        <f>G11*I11</f>
        <v>5247.3350000000009</v>
      </c>
      <c r="K11" s="1"/>
      <c r="M11" s="1"/>
      <c r="N11" s="1"/>
    </row>
    <row r="12" spans="2:18" x14ac:dyDescent="0.25">
      <c r="B12" s="9"/>
      <c r="C12" s="9" t="s">
        <v>9</v>
      </c>
      <c r="D12" s="9" t="s">
        <v>208</v>
      </c>
      <c r="E12" s="132" t="s">
        <v>209</v>
      </c>
      <c r="F12" s="9" t="s">
        <v>210</v>
      </c>
      <c r="G12" s="52">
        <v>3</v>
      </c>
      <c r="H12" s="146">
        <v>7684.11</v>
      </c>
      <c r="I12" s="146">
        <f>H12*(1+J$7)</f>
        <v>9893.2916249999998</v>
      </c>
      <c r="J12" s="147">
        <f>G12*I12</f>
        <v>29679.874875000001</v>
      </c>
      <c r="K12" s="1"/>
      <c r="M12" s="1"/>
      <c r="N12" s="1"/>
    </row>
    <row r="13" spans="2:18" x14ac:dyDescent="0.25">
      <c r="B13" s="9"/>
      <c r="C13" s="9" t="s">
        <v>9</v>
      </c>
      <c r="D13" s="9" t="s">
        <v>211</v>
      </c>
      <c r="E13" s="132" t="s">
        <v>212</v>
      </c>
      <c r="F13" s="9" t="s">
        <v>213</v>
      </c>
      <c r="G13" s="52">
        <v>2</v>
      </c>
      <c r="H13" s="146">
        <v>1289.0999999999999</v>
      </c>
      <c r="I13" s="146">
        <f>H13*(1+J$7)</f>
        <v>1659.7162499999999</v>
      </c>
      <c r="J13" s="147">
        <f>G13*I13</f>
        <v>3319.4324999999999</v>
      </c>
      <c r="K13" s="1"/>
      <c r="M13" s="1"/>
      <c r="N13" s="1"/>
    </row>
    <row r="14" spans="2:18" ht="18" customHeight="1" x14ac:dyDescent="0.25">
      <c r="B14" s="217" t="s">
        <v>19</v>
      </c>
      <c r="C14" s="218"/>
      <c r="D14" s="218"/>
      <c r="E14" s="218"/>
      <c r="F14" s="218"/>
      <c r="G14" s="218"/>
      <c r="H14" s="219"/>
      <c r="I14" s="300">
        <f>SUM(J11:J13)</f>
        <v>38246.642375000003</v>
      </c>
      <c r="J14" s="301"/>
      <c r="K14" s="1"/>
      <c r="M14" s="1"/>
      <c r="N14" s="1"/>
    </row>
    <row r="15" spans="2:18" x14ac:dyDescent="0.25">
      <c r="B15" s="33">
        <v>2</v>
      </c>
      <c r="C15" s="42"/>
      <c r="D15" s="42"/>
      <c r="E15" s="30" t="s">
        <v>24</v>
      </c>
      <c r="F15" s="42"/>
      <c r="G15" s="42"/>
      <c r="H15" s="42"/>
      <c r="I15" s="42"/>
      <c r="J15" s="34"/>
      <c r="K15" s="25"/>
      <c r="M15" s="1"/>
      <c r="N15" s="1"/>
    </row>
    <row r="16" spans="2:18" s="8" customFormat="1" ht="38.25" x14ac:dyDescent="0.25">
      <c r="B16" s="9"/>
      <c r="C16" s="4" t="s">
        <v>9</v>
      </c>
      <c r="D16" s="11" t="s">
        <v>107</v>
      </c>
      <c r="E16" s="5" t="s">
        <v>108</v>
      </c>
      <c r="F16" s="4" t="s">
        <v>20</v>
      </c>
      <c r="G16" s="52">
        <v>1</v>
      </c>
      <c r="H16" s="53">
        <v>1431.98</v>
      </c>
      <c r="I16" s="50">
        <f>H16*(1+J$7)</f>
        <v>1843.6742500000003</v>
      </c>
      <c r="J16" s="51">
        <f>G16*I16</f>
        <v>1843.6742500000003</v>
      </c>
      <c r="K16" s="6"/>
      <c r="L16" s="7"/>
      <c r="M16" s="6"/>
      <c r="N16" s="6"/>
    </row>
    <row r="17" spans="2:14" ht="63.75" x14ac:dyDescent="0.25">
      <c r="B17" s="9"/>
      <c r="C17" s="4" t="s">
        <v>9</v>
      </c>
      <c r="D17" s="4" t="s">
        <v>97</v>
      </c>
      <c r="E17" s="5" t="s">
        <v>100</v>
      </c>
      <c r="F17" s="4" t="s">
        <v>98</v>
      </c>
      <c r="G17" s="52">
        <v>2</v>
      </c>
      <c r="H17" s="50">
        <v>869.66</v>
      </c>
      <c r="I17" s="50">
        <f>H17*(1+J$7)</f>
        <v>1119.6872499999999</v>
      </c>
      <c r="J17" s="51">
        <f>G17*I17</f>
        <v>2239.3744999999999</v>
      </c>
      <c r="K17" s="25"/>
      <c r="M17" s="1"/>
      <c r="N17" s="1"/>
    </row>
    <row r="18" spans="2:14" ht="63.75" customHeight="1" x14ac:dyDescent="0.25">
      <c r="B18" s="9"/>
      <c r="C18" s="9" t="s">
        <v>9</v>
      </c>
      <c r="D18" s="9" t="s">
        <v>99</v>
      </c>
      <c r="E18" s="131" t="s">
        <v>101</v>
      </c>
      <c r="F18" s="9" t="s">
        <v>98</v>
      </c>
      <c r="G18" s="52">
        <v>2</v>
      </c>
      <c r="H18" s="133">
        <v>836.4</v>
      </c>
      <c r="I18" s="133">
        <f>H18*(1+J$7)</f>
        <v>1076.865</v>
      </c>
      <c r="J18" s="51">
        <f>G18*I18</f>
        <v>2153.73</v>
      </c>
      <c r="K18" s="25"/>
      <c r="M18" s="1"/>
      <c r="N18" s="1"/>
    </row>
    <row r="19" spans="2:14" s="8" customFormat="1" ht="15.75" customHeight="1" x14ac:dyDescent="0.25">
      <c r="B19" s="199" t="s">
        <v>19</v>
      </c>
      <c r="C19" s="200"/>
      <c r="D19" s="200"/>
      <c r="E19" s="200"/>
      <c r="F19" s="200"/>
      <c r="G19" s="200"/>
      <c r="H19" s="201"/>
      <c r="I19" s="296">
        <f>SUM(J16:J18)</f>
        <v>6236.7787499999995</v>
      </c>
      <c r="J19" s="297"/>
      <c r="K19" s="6"/>
      <c r="L19" s="7"/>
      <c r="M19" s="6"/>
      <c r="N19" s="6"/>
    </row>
    <row r="20" spans="2:14" x14ac:dyDescent="0.25">
      <c r="B20" s="33">
        <v>3</v>
      </c>
      <c r="C20" s="35"/>
      <c r="D20" s="30"/>
      <c r="E20" s="30" t="s">
        <v>230</v>
      </c>
      <c r="F20" s="30"/>
      <c r="G20" s="30"/>
      <c r="H20" s="43"/>
      <c r="I20" s="43"/>
      <c r="J20" s="36"/>
      <c r="K20" s="23"/>
      <c r="L20" s="3"/>
      <c r="M20" s="1"/>
      <c r="N20" s="1"/>
    </row>
    <row r="21" spans="2:14" ht="25.5" x14ac:dyDescent="0.25">
      <c r="B21" s="9" t="s">
        <v>133</v>
      </c>
      <c r="C21" s="4" t="s">
        <v>9</v>
      </c>
      <c r="D21" s="4" t="s">
        <v>118</v>
      </c>
      <c r="E21" s="5" t="s">
        <v>119</v>
      </c>
      <c r="F21" s="4" t="s">
        <v>120</v>
      </c>
      <c r="G21" s="136">
        <f>5*10*2</f>
        <v>100</v>
      </c>
      <c r="H21" s="54">
        <v>6.66</v>
      </c>
      <c r="I21" s="54">
        <f>H21*(1+J$7)</f>
        <v>8.5747500000000016</v>
      </c>
      <c r="J21" s="55">
        <f>G21*I21</f>
        <v>857.47500000000014</v>
      </c>
      <c r="K21" s="23"/>
      <c r="L21" s="3"/>
      <c r="M21" s="1"/>
      <c r="N21" s="1"/>
    </row>
    <row r="22" spans="2:14" s="8" customFormat="1" ht="38.25" x14ac:dyDescent="0.25">
      <c r="B22" s="9" t="s">
        <v>134</v>
      </c>
      <c r="C22" s="4" t="s">
        <v>9</v>
      </c>
      <c r="D22" s="4" t="s">
        <v>111</v>
      </c>
      <c r="E22" s="5" t="s">
        <v>112</v>
      </c>
      <c r="F22" s="4" t="s">
        <v>25</v>
      </c>
      <c r="G22" s="136">
        <f>861.4-61.62</f>
        <v>799.78</v>
      </c>
      <c r="H22" s="54">
        <v>21.41</v>
      </c>
      <c r="I22" s="54">
        <f>H22*(1+J$7)</f>
        <v>27.565375000000003</v>
      </c>
      <c r="J22" s="55">
        <f>G22*I22</f>
        <v>22046.235617500002</v>
      </c>
      <c r="K22" s="6"/>
      <c r="L22" s="7"/>
      <c r="M22" s="6"/>
      <c r="N22" s="6"/>
    </row>
    <row r="23" spans="2:14" s="8" customFormat="1" ht="38.25" x14ac:dyDescent="0.25">
      <c r="B23" s="9" t="s">
        <v>135</v>
      </c>
      <c r="C23" s="4" t="s">
        <v>9</v>
      </c>
      <c r="D23" s="4" t="s">
        <v>113</v>
      </c>
      <c r="E23" s="5" t="s">
        <v>114</v>
      </c>
      <c r="F23" s="4" t="s">
        <v>25</v>
      </c>
      <c r="G23" s="136">
        <f>861.4-61.62</f>
        <v>799.78</v>
      </c>
      <c r="H23" s="54">
        <v>19.86</v>
      </c>
      <c r="I23" s="54">
        <f t="shared" ref="I23:I26" si="0">H23*(1+J$7)</f>
        <v>25.569750000000003</v>
      </c>
      <c r="J23" s="55">
        <f t="shared" ref="J23:J26" si="1">G23*I23</f>
        <v>20450.174655000003</v>
      </c>
      <c r="K23" s="6"/>
      <c r="L23" s="7"/>
      <c r="M23" s="6"/>
      <c r="N23" s="6"/>
    </row>
    <row r="24" spans="2:14" s="8" customFormat="1" ht="38.25" x14ac:dyDescent="0.25">
      <c r="B24" s="9" t="s">
        <v>136</v>
      </c>
      <c r="C24" s="4" t="s">
        <v>9</v>
      </c>
      <c r="D24" s="4" t="s">
        <v>127</v>
      </c>
      <c r="E24" s="5" t="s">
        <v>128</v>
      </c>
      <c r="F24" s="4" t="s">
        <v>25</v>
      </c>
      <c r="G24" s="136">
        <v>61.62</v>
      </c>
      <c r="H24" s="54">
        <v>7.94</v>
      </c>
      <c r="I24" s="54">
        <f t="shared" ref="I24" si="2">H24*(1+J$7)</f>
        <v>10.222750000000001</v>
      </c>
      <c r="J24" s="55">
        <f t="shared" ref="J24" si="3">G24*I24</f>
        <v>629.92585500000007</v>
      </c>
      <c r="K24" s="6"/>
      <c r="L24" s="7"/>
      <c r="M24" s="6"/>
      <c r="N24" s="6"/>
    </row>
    <row r="25" spans="2:14" s="8" customFormat="1" ht="25.5" x14ac:dyDescent="0.25">
      <c r="B25" s="9" t="s">
        <v>137</v>
      </c>
      <c r="C25" s="4" t="s">
        <v>9</v>
      </c>
      <c r="D25" s="4" t="s">
        <v>145</v>
      </c>
      <c r="E25" s="5" t="s">
        <v>146</v>
      </c>
      <c r="F25" s="4" t="s">
        <v>147</v>
      </c>
      <c r="G25" s="136">
        <f>30*1</f>
        <v>30</v>
      </c>
      <c r="H25" s="54">
        <v>45.13</v>
      </c>
      <c r="I25" s="54">
        <f t="shared" ref="I25" si="4">H25*(1+J$7)</f>
        <v>58.104875000000007</v>
      </c>
      <c r="J25" s="55">
        <f t="shared" ref="J25" si="5">G25*I25</f>
        <v>1743.1462500000002</v>
      </c>
      <c r="K25" s="6"/>
      <c r="L25" s="7"/>
      <c r="M25" s="6"/>
      <c r="N25" s="6"/>
    </row>
    <row r="26" spans="2:14" s="8" customFormat="1" ht="25.5" x14ac:dyDescent="0.25">
      <c r="B26" s="9" t="s">
        <v>138</v>
      </c>
      <c r="C26" s="4" t="s">
        <v>9</v>
      </c>
      <c r="D26" s="4" t="s">
        <v>123</v>
      </c>
      <c r="E26" s="5" t="s">
        <v>124</v>
      </c>
      <c r="F26" s="4" t="s">
        <v>103</v>
      </c>
      <c r="G26" s="136">
        <f>(G22*0.015)+(G23*0.1)+(G24*0.005)</f>
        <v>92.282800000000009</v>
      </c>
      <c r="H26" s="54">
        <v>35.54</v>
      </c>
      <c r="I26" s="54">
        <f t="shared" si="0"/>
        <v>45.757750000000001</v>
      </c>
      <c r="J26" s="55">
        <f t="shared" si="1"/>
        <v>4222.6532917000004</v>
      </c>
      <c r="K26" s="6"/>
      <c r="L26" s="7"/>
      <c r="M26" s="6"/>
      <c r="N26" s="6"/>
    </row>
    <row r="27" spans="2:14" s="8" customFormat="1" ht="25.5" x14ac:dyDescent="0.25">
      <c r="B27" s="9" t="s">
        <v>139</v>
      </c>
      <c r="C27" s="4" t="s">
        <v>9</v>
      </c>
      <c r="D27" s="4" t="s">
        <v>121</v>
      </c>
      <c r="E27" s="5" t="s">
        <v>122</v>
      </c>
      <c r="F27" s="4" t="s">
        <v>103</v>
      </c>
      <c r="G27" s="136">
        <f>(G22*0.015)+(G23*0.1)+(G24*0.005)</f>
        <v>92.282800000000009</v>
      </c>
      <c r="H27" s="54">
        <v>50</v>
      </c>
      <c r="I27" s="54">
        <f t="shared" ref="I27:I28" si="6">H27*(1+J$7)</f>
        <v>64.375</v>
      </c>
      <c r="J27" s="55">
        <f t="shared" ref="J27:J28" si="7">G27*I27</f>
        <v>5940.7052500000009</v>
      </c>
      <c r="K27" s="6"/>
      <c r="L27" s="7"/>
      <c r="M27" s="6"/>
      <c r="N27" s="6"/>
    </row>
    <row r="28" spans="2:14" s="8" customFormat="1" ht="63.75" x14ac:dyDescent="0.25">
      <c r="B28" s="9" t="s">
        <v>140</v>
      </c>
      <c r="C28" s="4" t="s">
        <v>9</v>
      </c>
      <c r="D28" s="4" t="s">
        <v>125</v>
      </c>
      <c r="E28" s="5" t="s">
        <v>117</v>
      </c>
      <c r="F28" s="4" t="s">
        <v>126</v>
      </c>
      <c r="G28" s="136">
        <f>13.5*(861.4)</f>
        <v>11628.9</v>
      </c>
      <c r="H28" s="54">
        <v>22.92</v>
      </c>
      <c r="I28" s="54">
        <f t="shared" si="6"/>
        <v>29.509500000000003</v>
      </c>
      <c r="J28" s="55">
        <f t="shared" si="7"/>
        <v>343163.02455000003</v>
      </c>
      <c r="K28" s="6"/>
      <c r="L28" s="7"/>
      <c r="M28" s="6"/>
      <c r="N28" s="6"/>
    </row>
    <row r="29" spans="2:14" s="8" customFormat="1" ht="63.75" x14ac:dyDescent="0.25">
      <c r="B29" s="9" t="s">
        <v>141</v>
      </c>
      <c r="C29" s="4" t="s">
        <v>9</v>
      </c>
      <c r="D29" s="4" t="s">
        <v>115</v>
      </c>
      <c r="E29" s="5" t="s">
        <v>116</v>
      </c>
      <c r="F29" s="4" t="s">
        <v>25</v>
      </c>
      <c r="G29" s="136">
        <f>(205.7+655.7)</f>
        <v>861.40000000000009</v>
      </c>
      <c r="H29" s="54">
        <v>234.37</v>
      </c>
      <c r="I29" s="54">
        <f t="shared" ref="I29" si="8">H29*(1+J$7)</f>
        <v>301.75137500000005</v>
      </c>
      <c r="J29" s="55">
        <f t="shared" ref="J29" si="9">G29*I29</f>
        <v>259928.63442500008</v>
      </c>
      <c r="K29" s="6"/>
      <c r="L29" s="7"/>
      <c r="M29" s="6"/>
      <c r="N29" s="6"/>
    </row>
    <row r="30" spans="2:14" s="8" customFormat="1" x14ac:dyDescent="0.25">
      <c r="B30" s="9" t="s">
        <v>142</v>
      </c>
      <c r="C30" s="139" t="s">
        <v>9</v>
      </c>
      <c r="D30" s="139" t="s">
        <v>131</v>
      </c>
      <c r="E30" s="140" t="s">
        <v>132</v>
      </c>
      <c r="F30" s="139" t="s">
        <v>26</v>
      </c>
      <c r="G30" s="149">
        <f>39.5+22</f>
        <v>61.5</v>
      </c>
      <c r="H30" s="141">
        <v>55.95</v>
      </c>
      <c r="I30" s="141">
        <f t="shared" ref="I30" si="10">H30*(1+J$7)</f>
        <v>72.03562500000001</v>
      </c>
      <c r="J30" s="142">
        <f t="shared" ref="J30" si="11">G30*I30</f>
        <v>4430.1909375000005</v>
      </c>
      <c r="K30" s="6"/>
      <c r="L30" s="7"/>
      <c r="M30" s="6"/>
      <c r="N30" s="6"/>
    </row>
    <row r="31" spans="2:14" s="8" customFormat="1" ht="25.5" x14ac:dyDescent="0.25">
      <c r="B31" s="9" t="s">
        <v>143</v>
      </c>
      <c r="C31" s="4" t="s">
        <v>9</v>
      </c>
      <c r="D31" s="4" t="s">
        <v>129</v>
      </c>
      <c r="E31" s="5" t="s">
        <v>130</v>
      </c>
      <c r="F31" s="4" t="s">
        <v>26</v>
      </c>
      <c r="G31" s="136">
        <f>40*2+((25)*2)</f>
        <v>130</v>
      </c>
      <c r="H31" s="54">
        <v>53.58</v>
      </c>
      <c r="I31" s="54">
        <f t="shared" ref="I31:I38" si="12">H31*(1+J$7)</f>
        <v>68.984250000000003</v>
      </c>
      <c r="J31" s="55">
        <f t="shared" ref="J31:J38" si="13">G31*I31</f>
        <v>8967.9525000000012</v>
      </c>
      <c r="K31" s="6"/>
      <c r="L31" s="7"/>
      <c r="M31" s="6"/>
      <c r="N31" s="6"/>
    </row>
    <row r="32" spans="2:14" s="8" customFormat="1" ht="25.5" x14ac:dyDescent="0.25">
      <c r="B32" s="9" t="s">
        <v>144</v>
      </c>
      <c r="C32" s="4" t="s">
        <v>9</v>
      </c>
      <c r="D32" s="4" t="s">
        <v>151</v>
      </c>
      <c r="E32" s="5" t="s">
        <v>152</v>
      </c>
      <c r="F32" s="4" t="s">
        <v>26</v>
      </c>
      <c r="G32" s="136">
        <f>((((8*2)+(4*2))*8))+(80+80+50+50+20)</f>
        <v>472</v>
      </c>
      <c r="H32" s="54">
        <v>33.58</v>
      </c>
      <c r="I32" s="54">
        <f t="shared" si="12"/>
        <v>43.234250000000003</v>
      </c>
      <c r="J32" s="55">
        <f t="shared" si="13"/>
        <v>20406.566000000003</v>
      </c>
      <c r="K32" s="6"/>
      <c r="L32" s="7"/>
      <c r="M32" s="6"/>
      <c r="N32" s="6"/>
    </row>
    <row r="33" spans="2:14" s="8" customFormat="1" ht="51" x14ac:dyDescent="0.25">
      <c r="B33" s="9" t="s">
        <v>150</v>
      </c>
      <c r="C33" s="4" t="s">
        <v>9</v>
      </c>
      <c r="D33" s="4" t="s">
        <v>148</v>
      </c>
      <c r="E33" s="5" t="s">
        <v>155</v>
      </c>
      <c r="F33" s="4" t="s">
        <v>149</v>
      </c>
      <c r="G33" s="136">
        <v>24</v>
      </c>
      <c r="H33" s="54">
        <v>473.3</v>
      </c>
      <c r="I33" s="54">
        <f t="shared" si="12"/>
        <v>609.37375000000009</v>
      </c>
      <c r="J33" s="55">
        <f t="shared" si="13"/>
        <v>14624.970000000001</v>
      </c>
      <c r="K33" s="6"/>
      <c r="L33" s="7"/>
      <c r="M33" s="6"/>
      <c r="N33" s="6"/>
    </row>
    <row r="34" spans="2:14" s="8" customFormat="1" ht="25.5" x14ac:dyDescent="0.25">
      <c r="B34" s="9"/>
      <c r="C34" s="4" t="s">
        <v>9</v>
      </c>
      <c r="D34" s="4" t="s">
        <v>219</v>
      </c>
      <c r="E34" s="5" t="s">
        <v>214</v>
      </c>
      <c r="F34" s="4" t="s">
        <v>103</v>
      </c>
      <c r="G34" s="136">
        <f>(80+80+50+50+30+20)*0.6*0.3</f>
        <v>55.8</v>
      </c>
      <c r="H34" s="54">
        <v>60.61</v>
      </c>
      <c r="I34" s="54">
        <f t="shared" si="12"/>
        <v>78.035375000000002</v>
      </c>
      <c r="J34" s="55">
        <f t="shared" si="13"/>
        <v>4354.3739249999999</v>
      </c>
      <c r="K34" s="6"/>
      <c r="L34" s="7"/>
      <c r="M34" s="6"/>
      <c r="N34" s="6"/>
    </row>
    <row r="35" spans="2:14" s="8" customFormat="1" x14ac:dyDescent="0.25">
      <c r="B35" s="9"/>
      <c r="C35" s="4" t="s">
        <v>9</v>
      </c>
      <c r="D35" s="4" t="s">
        <v>220</v>
      </c>
      <c r="E35" s="5" t="s">
        <v>215</v>
      </c>
      <c r="F35" s="4" t="s">
        <v>25</v>
      </c>
      <c r="G35" s="136">
        <f>(80+80+50+50+30+20)*0.3</f>
        <v>93</v>
      </c>
      <c r="H35" s="54">
        <v>20.43</v>
      </c>
      <c r="I35" s="54">
        <f t="shared" si="12"/>
        <v>26.303625</v>
      </c>
      <c r="J35" s="55">
        <f t="shared" si="13"/>
        <v>2446.2371250000001</v>
      </c>
      <c r="K35" s="6"/>
      <c r="L35" s="7"/>
      <c r="M35" s="6"/>
      <c r="N35" s="6"/>
    </row>
    <row r="36" spans="2:14" s="8" customFormat="1" ht="25.5" x14ac:dyDescent="0.25">
      <c r="B36" s="9"/>
      <c r="C36" s="4" t="s">
        <v>9</v>
      </c>
      <c r="D36" s="4" t="s">
        <v>221</v>
      </c>
      <c r="E36" s="5" t="s">
        <v>216</v>
      </c>
      <c r="F36" s="4" t="s">
        <v>26</v>
      </c>
      <c r="G36" s="136">
        <v>30</v>
      </c>
      <c r="H36" s="54">
        <v>124.92</v>
      </c>
      <c r="I36" s="54">
        <f t="shared" si="12"/>
        <v>160.83450000000002</v>
      </c>
      <c r="J36" s="55">
        <f t="shared" si="13"/>
        <v>4825.0350000000008</v>
      </c>
      <c r="K36" s="6"/>
      <c r="L36" s="7"/>
      <c r="M36" s="6"/>
      <c r="N36" s="6"/>
    </row>
    <row r="37" spans="2:14" s="8" customFormat="1" ht="25.5" x14ac:dyDescent="0.25">
      <c r="B37" s="9"/>
      <c r="C37" s="4" t="s">
        <v>9</v>
      </c>
      <c r="D37" s="4" t="s">
        <v>222</v>
      </c>
      <c r="E37" s="5" t="s">
        <v>217</v>
      </c>
      <c r="F37" s="4" t="s">
        <v>103</v>
      </c>
      <c r="G37" s="136">
        <f>(((280*0.3*0.12)-(3.14*0.05*0.05*280))+((30*0.3*0.22)-(3.14*0.1*0.1*30)))</f>
        <v>8.92</v>
      </c>
      <c r="H37" s="54">
        <v>603.58000000000004</v>
      </c>
      <c r="I37" s="54">
        <f t="shared" si="12"/>
        <v>777.10925000000009</v>
      </c>
      <c r="J37" s="55">
        <f t="shared" si="13"/>
        <v>6931.8145100000011</v>
      </c>
      <c r="K37" s="6"/>
      <c r="L37" s="7"/>
      <c r="M37" s="6"/>
      <c r="N37" s="6"/>
    </row>
    <row r="38" spans="2:14" s="8" customFormat="1" ht="25.5" x14ac:dyDescent="0.25">
      <c r="B38" s="9"/>
      <c r="C38" s="4" t="s">
        <v>9</v>
      </c>
      <c r="D38" s="4" t="s">
        <v>223</v>
      </c>
      <c r="E38" s="5" t="s">
        <v>218</v>
      </c>
      <c r="F38" s="4" t="s">
        <v>103</v>
      </c>
      <c r="G38" s="136">
        <f>G34-G37-(3.14*0.05*0.05*280)-(3.14*0.1*0.1*30)</f>
        <v>43.739999999999995</v>
      </c>
      <c r="H38" s="54">
        <v>60.61</v>
      </c>
      <c r="I38" s="54">
        <f t="shared" si="12"/>
        <v>78.035375000000002</v>
      </c>
      <c r="J38" s="55">
        <f t="shared" si="13"/>
        <v>3413.2673024999995</v>
      </c>
      <c r="K38" s="6"/>
      <c r="L38" s="7"/>
      <c r="M38" s="6"/>
      <c r="N38" s="6"/>
    </row>
    <row r="39" spans="2:14" s="8" customFormat="1" ht="25.5" x14ac:dyDescent="0.25">
      <c r="B39" s="9" t="s">
        <v>150</v>
      </c>
      <c r="C39" s="4" t="s">
        <v>9</v>
      </c>
      <c r="D39" s="4" t="s">
        <v>153</v>
      </c>
      <c r="E39" s="5" t="s">
        <v>154</v>
      </c>
      <c r="F39" s="4" t="s">
        <v>26</v>
      </c>
      <c r="G39" s="136">
        <f>20+14</f>
        <v>34</v>
      </c>
      <c r="H39" s="54">
        <v>44.03</v>
      </c>
      <c r="I39" s="54">
        <f t="shared" ref="I39" si="14">H39*(1+J$7)</f>
        <v>56.688625000000009</v>
      </c>
      <c r="J39" s="55">
        <f t="shared" ref="J39" si="15">G39*I39</f>
        <v>1927.4132500000003</v>
      </c>
      <c r="K39" s="6"/>
      <c r="L39" s="7"/>
      <c r="M39" s="6"/>
      <c r="N39" s="6"/>
    </row>
    <row r="40" spans="2:14" s="8" customFormat="1" x14ac:dyDescent="0.25">
      <c r="B40" s="9" t="s">
        <v>150</v>
      </c>
      <c r="C40" s="4" t="s">
        <v>9</v>
      </c>
      <c r="D40" s="4" t="s">
        <v>158</v>
      </c>
      <c r="E40" s="5" t="s">
        <v>159</v>
      </c>
      <c r="F40" s="4" t="s">
        <v>25</v>
      </c>
      <c r="G40" s="136">
        <f>40*2+((25)*2)</f>
        <v>130</v>
      </c>
      <c r="H40" s="54">
        <v>14.72</v>
      </c>
      <c r="I40" s="54">
        <f t="shared" ref="I40" si="16">H40*(1+J$7)</f>
        <v>18.952000000000002</v>
      </c>
      <c r="J40" s="55">
        <f t="shared" ref="J40" si="17">G40*I40</f>
        <v>2463.7600000000002</v>
      </c>
      <c r="K40" s="6"/>
      <c r="L40" s="7"/>
      <c r="M40" s="6"/>
      <c r="N40" s="6"/>
    </row>
    <row r="41" spans="2:14" s="12" customFormat="1" ht="15" customHeight="1" x14ac:dyDescent="0.2">
      <c r="B41" s="220" t="s">
        <v>19</v>
      </c>
      <c r="C41" s="221"/>
      <c r="D41" s="221"/>
      <c r="E41" s="221"/>
      <c r="F41" s="221"/>
      <c r="G41" s="221"/>
      <c r="H41" s="222"/>
      <c r="I41" s="296">
        <f>SUM(J21:J40)</f>
        <v>733773.55544420006</v>
      </c>
      <c r="J41" s="297"/>
      <c r="L41" s="13"/>
    </row>
    <row r="42" spans="2:14" s="12" customFormat="1" ht="12.75" x14ac:dyDescent="0.2">
      <c r="B42" s="19">
        <v>4</v>
      </c>
      <c r="C42" s="26"/>
      <c r="D42" s="44"/>
      <c r="E42" s="45" t="s">
        <v>224</v>
      </c>
      <c r="F42" s="46"/>
      <c r="G42" s="47"/>
      <c r="H42" s="27"/>
      <c r="I42" s="48"/>
      <c r="J42" s="28"/>
      <c r="K42" s="24"/>
      <c r="L42" s="13"/>
    </row>
    <row r="43" spans="2:14" s="12" customFormat="1" ht="25.5" x14ac:dyDescent="0.2">
      <c r="B43" s="9"/>
      <c r="C43" s="134" t="s">
        <v>9</v>
      </c>
      <c r="D43" s="134" t="s">
        <v>156</v>
      </c>
      <c r="E43" s="135" t="s">
        <v>157</v>
      </c>
      <c r="F43" s="134" t="s">
        <v>25</v>
      </c>
      <c r="G43" s="136">
        <f>(15*2*2/2)+(7*2*2/2)+(15*2)</f>
        <v>74</v>
      </c>
      <c r="H43" s="137">
        <v>65.400000000000006</v>
      </c>
      <c r="I43" s="137">
        <f t="shared" ref="I43" si="18">H43*(1+J$7)</f>
        <v>84.202500000000015</v>
      </c>
      <c r="J43" s="138">
        <f t="shared" ref="J43" si="19">G43*I43</f>
        <v>6230.9850000000015</v>
      </c>
      <c r="K43" s="24"/>
      <c r="L43" s="13"/>
    </row>
    <row r="44" spans="2:14" s="12" customFormat="1" ht="38.25" x14ac:dyDescent="0.2">
      <c r="B44" s="143"/>
      <c r="C44" s="134" t="s">
        <v>9</v>
      </c>
      <c r="D44" s="134" t="s">
        <v>160</v>
      </c>
      <c r="E44" s="135" t="s">
        <v>161</v>
      </c>
      <c r="F44" s="134" t="s">
        <v>25</v>
      </c>
      <c r="G44" s="136">
        <f t="shared" ref="G44:G45" si="20">(15*2*2/2)+(7*2*2/2)+(15*2)</f>
        <v>74</v>
      </c>
      <c r="H44" s="137">
        <v>8.44</v>
      </c>
      <c r="I44" s="137">
        <f t="shared" ref="I44:I45" si="21">H44*(1+J$7)</f>
        <v>10.8665</v>
      </c>
      <c r="J44" s="138">
        <f t="shared" ref="J44:J45" si="22">G44*I44</f>
        <v>804.12099999999998</v>
      </c>
      <c r="K44" s="24"/>
      <c r="L44" s="13"/>
    </row>
    <row r="45" spans="2:14" s="12" customFormat="1" ht="25.5" x14ac:dyDescent="0.2">
      <c r="B45" s="143"/>
      <c r="C45" s="134" t="s">
        <v>9</v>
      </c>
      <c r="D45" s="134" t="s">
        <v>162</v>
      </c>
      <c r="E45" s="135" t="s">
        <v>163</v>
      </c>
      <c r="F45" s="134" t="s">
        <v>25</v>
      </c>
      <c r="G45" s="136">
        <f t="shared" si="20"/>
        <v>74</v>
      </c>
      <c r="H45" s="137">
        <v>28.08</v>
      </c>
      <c r="I45" s="137">
        <f t="shared" si="21"/>
        <v>36.152999999999999</v>
      </c>
      <c r="J45" s="138">
        <f t="shared" si="22"/>
        <v>2675.3220000000001</v>
      </c>
      <c r="K45" s="24"/>
      <c r="L45" s="13"/>
    </row>
    <row r="46" spans="2:14" s="12" customFormat="1" ht="12.75" x14ac:dyDescent="0.2">
      <c r="B46" s="21"/>
      <c r="C46" s="22"/>
      <c r="D46" s="20"/>
      <c r="E46" s="223" t="s">
        <v>19</v>
      </c>
      <c r="F46" s="221"/>
      <c r="G46" s="221"/>
      <c r="H46" s="222"/>
      <c r="I46" s="296">
        <f>SUM(J43:J45)</f>
        <v>9710.4280000000017</v>
      </c>
      <c r="J46" s="297"/>
      <c r="L46" s="13"/>
    </row>
    <row r="47" spans="2:14" s="12" customFormat="1" ht="12.75" x14ac:dyDescent="0.2">
      <c r="B47" s="19">
        <v>5</v>
      </c>
      <c r="C47" s="26"/>
      <c r="D47" s="44"/>
      <c r="E47" s="45" t="s">
        <v>164</v>
      </c>
      <c r="F47" s="46"/>
      <c r="G47" s="47"/>
      <c r="H47" s="27"/>
      <c r="I47" s="48"/>
      <c r="J47" s="28"/>
      <c r="K47" s="24"/>
      <c r="L47" s="13"/>
    </row>
    <row r="48" spans="2:14" s="12" customFormat="1" ht="12.75" x14ac:dyDescent="0.2">
      <c r="B48" s="9"/>
      <c r="C48" s="4" t="s">
        <v>9</v>
      </c>
      <c r="D48" s="4" t="s">
        <v>168</v>
      </c>
      <c r="E48" s="5" t="s">
        <v>169</v>
      </c>
      <c r="F48" s="4" t="s">
        <v>25</v>
      </c>
      <c r="G48" s="52">
        <v>1180.43</v>
      </c>
      <c r="H48" s="56">
        <v>26.73</v>
      </c>
      <c r="I48" s="54">
        <f t="shared" ref="I48:I49" si="23">H48*(1+J$7)</f>
        <v>34.414875000000002</v>
      </c>
      <c r="J48" s="55">
        <f t="shared" ref="J48:J49" si="24">G48*I48</f>
        <v>40624.350896250005</v>
      </c>
      <c r="K48" s="24"/>
      <c r="L48" s="13"/>
    </row>
    <row r="49" spans="2:12" s="12" customFormat="1" ht="25.5" x14ac:dyDescent="0.2">
      <c r="B49" s="9"/>
      <c r="C49" s="4" t="s">
        <v>9</v>
      </c>
      <c r="D49" s="4" t="s">
        <v>170</v>
      </c>
      <c r="E49" s="5" t="s">
        <v>171</v>
      </c>
      <c r="F49" s="4" t="s">
        <v>25</v>
      </c>
      <c r="G49" s="52">
        <f>G48/5</f>
        <v>236.08600000000001</v>
      </c>
      <c r="H49" s="56">
        <v>28.56</v>
      </c>
      <c r="I49" s="54">
        <f t="shared" si="23"/>
        <v>36.771000000000001</v>
      </c>
      <c r="J49" s="55">
        <f t="shared" si="24"/>
        <v>8681.1183060000003</v>
      </c>
      <c r="K49" s="24"/>
      <c r="L49" s="13"/>
    </row>
    <row r="50" spans="2:12" s="12" customFormat="1" ht="38.25" x14ac:dyDescent="0.2">
      <c r="B50" s="9"/>
      <c r="C50" s="4" t="s">
        <v>9</v>
      </c>
      <c r="D50" s="4" t="s">
        <v>167</v>
      </c>
      <c r="E50" s="5" t="s">
        <v>166</v>
      </c>
      <c r="F50" s="4" t="s">
        <v>25</v>
      </c>
      <c r="G50" s="148">
        <f>1180.43</f>
        <v>1180.43</v>
      </c>
      <c r="H50" s="56">
        <v>257.98</v>
      </c>
      <c r="I50" s="54">
        <f t="shared" ref="I50" si="25">H50*(1+J$7)</f>
        <v>332.14925000000005</v>
      </c>
      <c r="J50" s="55">
        <f t="shared" ref="J50" si="26">G50*I50</f>
        <v>392078.93917750008</v>
      </c>
      <c r="K50" s="24"/>
      <c r="L50" s="13"/>
    </row>
    <row r="51" spans="2:12" s="12" customFormat="1" ht="25.5" x14ac:dyDescent="0.2">
      <c r="B51" s="9"/>
      <c r="C51" s="4" t="s">
        <v>9</v>
      </c>
      <c r="D51" s="4" t="s">
        <v>172</v>
      </c>
      <c r="E51" s="5" t="s">
        <v>173</v>
      </c>
      <c r="F51" s="4" t="s">
        <v>26</v>
      </c>
      <c r="G51" s="148">
        <f>837.74-(26*0.8)</f>
        <v>816.94</v>
      </c>
      <c r="H51" s="56">
        <v>54.45</v>
      </c>
      <c r="I51" s="54">
        <f t="shared" ref="I51" si="27">H51*(1+J$7)</f>
        <v>70.104375000000005</v>
      </c>
      <c r="J51" s="55">
        <f t="shared" ref="J51" si="28">G51*I51</f>
        <v>57271.068112500005</v>
      </c>
      <c r="K51" s="24"/>
      <c r="L51" s="13"/>
    </row>
    <row r="52" spans="2:12" s="12" customFormat="1" ht="12.75" x14ac:dyDescent="0.2">
      <c r="B52" s="21"/>
      <c r="C52" s="22"/>
      <c r="D52" s="20"/>
      <c r="E52" s="223" t="s">
        <v>19</v>
      </c>
      <c r="F52" s="221"/>
      <c r="G52" s="221"/>
      <c r="H52" s="222"/>
      <c r="I52" s="296">
        <f>SUM(J48:J51)</f>
        <v>498655.47649225011</v>
      </c>
      <c r="J52" s="297"/>
      <c r="K52" s="24"/>
      <c r="L52" s="13"/>
    </row>
    <row r="53" spans="2:12" s="12" customFormat="1" ht="12.75" x14ac:dyDescent="0.2">
      <c r="B53" s="19">
        <v>6</v>
      </c>
      <c r="C53" s="26"/>
      <c r="D53" s="44"/>
      <c r="E53" s="45" t="s">
        <v>104</v>
      </c>
      <c r="F53" s="46"/>
      <c r="G53" s="47"/>
      <c r="H53" s="27"/>
      <c r="I53" s="48"/>
      <c r="J53" s="28"/>
      <c r="L53" s="13"/>
    </row>
    <row r="54" spans="2:12" s="12" customFormat="1" ht="12.75" x14ac:dyDescent="0.2">
      <c r="B54" s="9"/>
      <c r="C54" s="4" t="s">
        <v>9</v>
      </c>
      <c r="D54" s="4" t="s">
        <v>105</v>
      </c>
      <c r="E54" s="5" t="s">
        <v>106</v>
      </c>
      <c r="F54" s="4" t="s">
        <v>25</v>
      </c>
      <c r="G54" s="136">
        <f>G29*2</f>
        <v>1722.8000000000002</v>
      </c>
      <c r="H54" s="54">
        <v>6.47</v>
      </c>
      <c r="I54" s="54">
        <f t="shared" ref="I54" si="29">H54*(1+J$7)</f>
        <v>8.3301250000000007</v>
      </c>
      <c r="J54" s="55">
        <f t="shared" ref="J54" si="30">G54*I54</f>
        <v>14351.139350000003</v>
      </c>
      <c r="K54" s="24"/>
      <c r="L54" s="13"/>
    </row>
    <row r="55" spans="2:12" s="12" customFormat="1" ht="13.5" thickBot="1" x14ac:dyDescent="0.25">
      <c r="B55" s="21"/>
      <c r="C55" s="22"/>
      <c r="D55" s="20"/>
      <c r="E55" s="223" t="s">
        <v>19</v>
      </c>
      <c r="F55" s="221"/>
      <c r="G55" s="221"/>
      <c r="H55" s="222"/>
      <c r="I55" s="296">
        <f>SUM(J54:J54)</f>
        <v>14351.139350000003</v>
      </c>
      <c r="J55" s="297"/>
      <c r="K55" s="24"/>
      <c r="L55" s="13"/>
    </row>
    <row r="56" spans="2:12" ht="15.6" customHeight="1" thickTop="1" x14ac:dyDescent="0.25">
      <c r="B56" s="225"/>
      <c r="C56" s="226"/>
      <c r="D56" s="226"/>
      <c r="E56" s="226"/>
      <c r="F56" s="226" t="s">
        <v>27</v>
      </c>
      <c r="G56" s="226"/>
      <c r="H56" s="226"/>
      <c r="I56" s="229"/>
      <c r="J56" s="298">
        <f>SUM(I14,I19,I41,I46,I52,I55)</f>
        <v>1300974.0204114502</v>
      </c>
    </row>
    <row r="57" spans="2:12" ht="16.5" thickBot="1" x14ac:dyDescent="0.3">
      <c r="B57" s="227"/>
      <c r="C57" s="228"/>
      <c r="D57" s="228"/>
      <c r="E57" s="228"/>
      <c r="F57" s="228"/>
      <c r="G57" s="228"/>
      <c r="H57" s="228"/>
      <c r="I57" s="230"/>
      <c r="J57" s="299">
        <f>SUM(J19,J24,J46,J51,J56)</f>
        <v>1358875.0143789502</v>
      </c>
    </row>
    <row r="58" spans="2:12" ht="16.5" thickTop="1" x14ac:dyDescent="0.25">
      <c r="B58" s="129"/>
      <c r="C58" s="129"/>
      <c r="D58" s="129"/>
      <c r="E58" s="129"/>
      <c r="F58" s="129"/>
      <c r="G58" s="129"/>
      <c r="H58" s="129"/>
      <c r="I58" s="129"/>
      <c r="J58" s="129"/>
    </row>
    <row r="59" spans="2:12" x14ac:dyDescent="0.25">
      <c r="B59" s="129"/>
      <c r="C59" s="129"/>
      <c r="D59" s="129"/>
      <c r="E59" s="129"/>
      <c r="F59" s="129"/>
      <c r="G59" s="129"/>
      <c r="H59" s="129"/>
      <c r="I59" s="129"/>
      <c r="J59" s="129"/>
    </row>
    <row r="62" spans="2:12" x14ac:dyDescent="0.25">
      <c r="E62" s="150"/>
      <c r="F62" s="120"/>
      <c r="G62" s="120"/>
      <c r="I62" s="233" t="s">
        <v>94</v>
      </c>
      <c r="J62" s="233"/>
    </row>
    <row r="63" spans="2:12" ht="30" customHeight="1" x14ac:dyDescent="0.25">
      <c r="E63" s="130"/>
      <c r="F63" s="130"/>
      <c r="G63" s="130"/>
      <c r="I63" s="224" t="s">
        <v>95</v>
      </c>
      <c r="J63" s="224"/>
    </row>
    <row r="64" spans="2:12" ht="25.5" customHeight="1" x14ac:dyDescent="0.25"/>
  </sheetData>
  <mergeCells count="29">
    <mergeCell ref="B14:H14"/>
    <mergeCell ref="B2:D3"/>
    <mergeCell ref="B8:J8"/>
    <mergeCell ref="E2:J2"/>
    <mergeCell ref="E3:J3"/>
    <mergeCell ref="B6:D6"/>
    <mergeCell ref="B7:D7"/>
    <mergeCell ref="B4:D4"/>
    <mergeCell ref="B5:D5"/>
    <mergeCell ref="F5:I6"/>
    <mergeCell ref="J5:J6"/>
    <mergeCell ref="F4:I4"/>
    <mergeCell ref="F7:G7"/>
    <mergeCell ref="I14:J14"/>
    <mergeCell ref="B19:H19"/>
    <mergeCell ref="I63:J63"/>
    <mergeCell ref="I41:J41"/>
    <mergeCell ref="F56:I57"/>
    <mergeCell ref="B56:E57"/>
    <mergeCell ref="J56:J57"/>
    <mergeCell ref="I62:J62"/>
    <mergeCell ref="E52:H52"/>
    <mergeCell ref="I52:J52"/>
    <mergeCell ref="B41:H41"/>
    <mergeCell ref="E46:H46"/>
    <mergeCell ref="I46:J46"/>
    <mergeCell ref="E55:H55"/>
    <mergeCell ref="I55:J55"/>
    <mergeCell ref="I19:J19"/>
  </mergeCells>
  <phoneticPr fontId="51" type="noConversion"/>
  <printOptions horizontalCentered="1"/>
  <pageMargins left="0.23622047244094491" right="0.23622047244094491" top="0.39370078740157483" bottom="0.39370078740157483" header="0.31496062992125984" footer="0.31496062992125984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Orçamento Analítico Demolição</vt:lpstr>
      <vt:lpstr>CFF</vt:lpstr>
      <vt:lpstr>BDI</vt:lpstr>
      <vt:lpstr>Levantamentos</vt:lpstr>
      <vt:lpstr>Orçamento Analítico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Obras</dc:creator>
  <cp:lastModifiedBy>User</cp:lastModifiedBy>
  <cp:lastPrinted>2023-11-30T13:18:45Z</cp:lastPrinted>
  <dcterms:created xsi:type="dcterms:W3CDTF">2022-03-31T18:36:43Z</dcterms:created>
  <dcterms:modified xsi:type="dcterms:W3CDTF">2023-12-18T18:25:36Z</dcterms:modified>
</cp:coreProperties>
</file>